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55" windowHeight="7365" activeTab="0"/>
  </bookViews>
  <sheets>
    <sheet name="Krycí list" sheetId="1" r:id="rId1"/>
    <sheet name="Rekapitulace rozpočtu" sheetId="2" r:id="rId2"/>
    <sheet name="Rozpočet" sheetId="3" r:id="rId3"/>
    <sheet name="Hromosvod" sheetId="4" r:id="rId4"/>
  </sheets>
  <definedNames>
    <definedName name="_xlnm.Print_Titles" localSheetId="3">'Hromosvod'!$1:$2</definedName>
    <definedName name="_xlnm.Print_Titles" localSheetId="2">'Rozpočet'!$1:$3</definedName>
    <definedName name="_xlnm.Print_Area" localSheetId="0">'Krycí list'!$A$1:$K$43</definedName>
  </definedNames>
  <calcPr fullCalcOnLoad="1"/>
</workbook>
</file>

<file path=xl/sharedStrings.xml><?xml version="1.0" encoding="utf-8"?>
<sst xmlns="http://schemas.openxmlformats.org/spreadsheetml/2006/main" count="1002" uniqueCount="608">
  <si>
    <t>99</t>
  </si>
  <si>
    <t>Presun hmot</t>
  </si>
  <si>
    <t>%</t>
  </si>
  <si>
    <t>767</t>
  </si>
  <si>
    <t>998 76-7203</t>
  </si>
  <si>
    <t>Presun zamecnicke kce objekt v -24m</t>
  </si>
  <si>
    <t>94</t>
  </si>
  <si>
    <t>Leseni a stavebni vytahy</t>
  </si>
  <si>
    <t>96</t>
  </si>
  <si>
    <t>Bourani konstrukci</t>
  </si>
  <si>
    <t>t</t>
  </si>
  <si>
    <t>979 08-2111</t>
  </si>
  <si>
    <t>Vnitrostav doprava suti do 10m</t>
  </si>
  <si>
    <t>Tonáž</t>
  </si>
  <si>
    <t>jednotková</t>
  </si>
  <si>
    <t>Název položky</t>
  </si>
  <si>
    <t>Název stavby :</t>
  </si>
  <si>
    <t>celkem</t>
  </si>
  <si>
    <t>CENA (Kč)</t>
  </si>
  <si>
    <t>Oddíl</t>
  </si>
  <si>
    <t>Název</t>
  </si>
  <si>
    <t>Celkem</t>
  </si>
  <si>
    <t>Množství</t>
  </si>
  <si>
    <t>Dodávka</t>
  </si>
  <si>
    <t>Montáž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</si>
  <si>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</si>
  <si>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</si>
  <si>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</si>
  <si>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</si>
  <si>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</si>
  <si>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</si>
  <si>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</si>
  <si>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</si>
  <si>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</si>
  <si>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</si>
  <si>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</si>
  <si>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</si>
  <si>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</si>
  <si>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</si>
  <si>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</si>
  <si>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</si>
  <si>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</si>
  <si>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</si>
  <si>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</si>
  <si>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</si>
  <si>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</si>
  <si>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</si>
  <si>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</si>
  <si>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</si>
  <si>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</si>
  <si>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Vypracoval: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</si>
  <si>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</si>
  <si>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</si>
  <si>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</si>
  <si>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</si>
  <si>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</si>
  <si>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</si>
  <si>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</si>
  <si>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</si>
  <si>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</si>
  <si>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</si>
  <si>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</si>
  <si>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</si>
  <si>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</si>
  <si>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Celkem (ř. 26-28)</t>
  </si>
  <si>
    <t>Název stavby v evid.</t>
  </si>
  <si>
    <t>Název objektu v evid.</t>
  </si>
  <si>
    <t>Číslo záznamu v evid.</t>
  </si>
  <si>
    <t>Cenová úroveň:</t>
  </si>
  <si>
    <t>Náklady na MJ:</t>
  </si>
  <si>
    <t>1</t>
  </si>
  <si>
    <t>Zemni prace</t>
  </si>
  <si>
    <t>m2</t>
  </si>
  <si>
    <t>180 40-2111</t>
  </si>
  <si>
    <t>kg</t>
  </si>
  <si>
    <t>m</t>
  </si>
  <si>
    <t>62</t>
  </si>
  <si>
    <t>Uprava povrchu vnejsi</t>
  </si>
  <si>
    <t>CZ64618633</t>
  </si>
  <si>
    <t xml:space="preserve"> Havířovská inženýrská kancelář, spol. s r.o.</t>
  </si>
  <si>
    <t>Plochy zasažené stavební činností</t>
  </si>
  <si>
    <t>Konstrukce zámečnické</t>
  </si>
  <si>
    <t>Práce HSV</t>
  </si>
  <si>
    <t>Práce PSV</t>
  </si>
  <si>
    <t>Jednotková hmotnost</t>
  </si>
  <si>
    <t>Celková hmotnost</t>
  </si>
  <si>
    <t>Měrná jedn.</t>
  </si>
  <si>
    <t>Dočasná dopravní opatření</t>
  </si>
  <si>
    <t>Užívání veřejných ploch a prostranství</t>
  </si>
  <si>
    <t>Číslo položky</t>
  </si>
  <si>
    <t>ON</t>
  </si>
  <si>
    <t>Ostatní náklady</t>
  </si>
  <si>
    <t>ON-03</t>
  </si>
  <si>
    <t xml:space="preserve">OCHRANA STÁVAJÍCÍCH ROZVODŮ A INŽENÝRSKÝCH SÍTÍ </t>
  </si>
  <si>
    <t>soubor</t>
  </si>
  <si>
    <t>* Ochrana stávajících inženýrských sítí na staveništi
* Náklady na přezkoumání podkladů objednatele o stavu inženýrských sítí
probíhajících staveništěm nebo dotčenými stavbou i mimo území staveniště
* Vytýčení jejich skutečné trasy dle podmínek správců sítí v dokladové části
* Zajištění aktualizace vyjádření správců sítí v případě ukončení platnosti vyjádření
* Zajištění a zebezpečení stávajících rozvodů a inženýrských sítí a přípojek při stavebních pracích</t>
  </si>
  <si>
    <t>ON-04</t>
  </si>
  <si>
    <t>Náklady na vyhotovení návrhu dočasného dopravního značení, jeho projednání
s dotčenými orgány a organizacemi, dodání dopravních značek, jejich rozmístění a přemísťování a
jejich údržba v průběhu výstavby včetně následného odstranění po ukončení stavebních prací</t>
  </si>
  <si>
    <t>ON-05</t>
  </si>
  <si>
    <t>Náklady a poplatky spojené s užíváním veřejných ploch a prostranství, pokud
jsou stavebními pracemi nebo souvisejícími činnostmi dotčeny, a to včetně užívání ploch v souvislosti
s uložením stavebního materiálu nebo stavebního odpadu</t>
  </si>
  <si>
    <t>ON-09</t>
  </si>
  <si>
    <t xml:space="preserve">DOKUMENTACE SKUTEČNÉHO PROVEDENÍ STAVBY </t>
  </si>
  <si>
    <t>Vypracování DOKUMENTACE SKUTEČNÉHO PROVEDENÍ STAVBY vč. geodetického zaměření stavbou realizovaných inženýrských sítí a zemního vedení technické infrastruktury</t>
  </si>
  <si>
    <t>ON-10</t>
  </si>
  <si>
    <t>KOMPLETAČNÍ ČINNOST ZHOTOVITELE</t>
  </si>
  <si>
    <t>VN</t>
  </si>
  <si>
    <t>Vedlejší náklady</t>
  </si>
  <si>
    <t xml:space="preserve">Vybudování zařízení staveniště </t>
  </si>
  <si>
    <t>*Zajištění bezpečného příjezdu a přístupu na staveniště včetně dopravního značení a potřebných souhlasů a rozhodnutí s vybudováním zařízení staveniště</t>
  </si>
  <si>
    <t>*Náklady s připojením staveniště na energie + zajištění měření odběru energií</t>
  </si>
  <si>
    <t>*Vytýčení obvodu staveniště</t>
  </si>
  <si>
    <t>*Oplocení a zabezpečení prostoru staveniště proti neoprávněnému vstupu</t>
  </si>
  <si>
    <t xml:space="preserve">Provoz zařízení staveniště </t>
  </si>
  <si>
    <t>*Náklady na vybavení zařízení staveniště</t>
  </si>
  <si>
    <t>*Náklady na spotřebované energie provozem zařízení staveniště</t>
  </si>
  <si>
    <t>*Náklady na úklid v prostoru staveniště a příjezdových komunikací ke staveništi</t>
  </si>
  <si>
    <t>*Opatření k zabránění nadměrného zatěžování staveniště a jeho okolí prachem (např. používání krycích plachet, kropení sutě a odtěžované zeminy vodou)</t>
  </si>
  <si>
    <t xml:space="preserve">Odstranění zařízení staveniště </t>
  </si>
  <si>
    <t>*Náklady na odstranění a odvoz zařízení staveniště</t>
  </si>
  <si>
    <t>*Uvedení stavbou dotčených ploch a ploch zařízení staveniště do původního stavu</t>
  </si>
  <si>
    <t>ON celkem</t>
  </si>
  <si>
    <t xml:space="preserve">Náklady spojené s odvozema  likvidací stavební sutě </t>
  </si>
  <si>
    <t>183 40-3114</t>
  </si>
  <si>
    <t>Obdělání půdy kultivátorováním v rovině</t>
  </si>
  <si>
    <t>Založení trávníku parkového výsevem v rovině</t>
  </si>
  <si>
    <t>C E N A (Kč)</t>
  </si>
  <si>
    <t>Cenová soustava</t>
  </si>
  <si>
    <t>Vlastní</t>
  </si>
  <si>
    <t>m3</t>
  </si>
  <si>
    <t>783</t>
  </si>
  <si>
    <t>Natery</t>
  </si>
  <si>
    <t>783 90-4811</t>
  </si>
  <si>
    <t>Odrezivění kovových konstrukcí</t>
  </si>
  <si>
    <t>783 12-5230</t>
  </si>
  <si>
    <t>Nátěr syntetický OK  1x základ + 2x email</t>
  </si>
  <si>
    <t>Nátěry</t>
  </si>
  <si>
    <t>Práce montážní</t>
  </si>
  <si>
    <t xml:space="preserve"> Ostatní náklady</t>
  </si>
  <si>
    <t xml:space="preserve"> VN - 01</t>
  </si>
  <si>
    <t xml:space="preserve"> VN - 02</t>
  </si>
  <si>
    <t xml:space="preserve"> VN - 03</t>
  </si>
  <si>
    <t>VN + ON</t>
  </si>
  <si>
    <t>VN celkem</t>
  </si>
  <si>
    <t xml:space="preserve">* kompletní dokladová část dle SoD (revize, atesty, certifikáty, prohlášení o shodě) pro předání a převzetí dokončeného díla a pro zajištění kolaudačního souhlasu
* náklady zhotovitele, související s prováděním VZORKOVÁNÍ DODÁVANÝCH MATERIÁLŮ a VÝROBKŮ v souladu s SoD
* náklady zhotovitele, související s prováděním zkoušek a REVIZÍ předepsaných technickými normami a vyjádřeními dotčených orgánů pro řádné provedení a předání  díla
* náklady na individuální zkoušky dodaných a smontovaných technologických
zařízení včetně komplexního vyzkoušení
* náklady zhotovitele na vypracování provozních řádů pro trvalý provoz
</t>
  </si>
  <si>
    <t>Likvidace v souladu se zákonem č. 185/2001 Sb O odpadech, dle technologie a místa určení zhotovitelem, včetně poplatků za uložení odpadu</t>
  </si>
  <si>
    <t>764</t>
  </si>
  <si>
    <t>Konstrukce klempirske</t>
  </si>
  <si>
    <t>998 76-4203</t>
  </si>
  <si>
    <t>Presun klempir kce objekt v 24m</t>
  </si>
  <si>
    <t>766</t>
  </si>
  <si>
    <t xml:space="preserve"> Konstruikce klempířské</t>
  </si>
  <si>
    <t>A12</t>
  </si>
  <si>
    <t>Ústrojí jistící</t>
  </si>
  <si>
    <t>979 08-2121</t>
  </si>
  <si>
    <t>Vnitrostav doprava suti ZKD 5m</t>
  </si>
  <si>
    <t>183 40-3153</t>
  </si>
  <si>
    <t>Obdělání půdy hrabáním, v rovině</t>
  </si>
  <si>
    <t>63</t>
  </si>
  <si>
    <t>632 92-1911</t>
  </si>
  <si>
    <t>Dlažba z dlaždic betonových do písku, tl. 40 mm</t>
  </si>
  <si>
    <t xml:space="preserve">Položka je určena pro dlažbu vnitřní nebo vnější při objektu vodorovnou nebo ve spádu do 15° od vodorovné roviny z dlaždic betonových kladených do písku se zalitím spár na celou výšku cementovou maltou pro spárování. V položce je zakalkulována i dodávka dlaždic. </t>
  </si>
  <si>
    <t>Okapový chodník kolem objektu</t>
  </si>
  <si>
    <t xml:space="preserve"> Povrchy z dlažeb</t>
  </si>
  <si>
    <t>4</t>
  </si>
  <si>
    <t>Vodorovné konstrukce</t>
  </si>
  <si>
    <t>kpl.</t>
  </si>
  <si>
    <t>631 57-1001</t>
  </si>
  <si>
    <t>Násyp z kameniva těženého 0 - 4, zpevňující</t>
  </si>
  <si>
    <t>978 05-9611</t>
  </si>
  <si>
    <t>Odsekání a odebrání obkladů stěn z vnějších obkladaček do 1 m2</t>
  </si>
  <si>
    <t>DPH 15%</t>
  </si>
  <si>
    <t xml:space="preserve">00572410  MAT </t>
  </si>
  <si>
    <t>Směs travní parková II. mírná zátěž PROFI</t>
  </si>
  <si>
    <t>944 94-4011</t>
  </si>
  <si>
    <t>Montáž ochranné sítě z umělých vláken</t>
  </si>
  <si>
    <t>Příplatek za každý měsíc použití sítí k pol. 4011</t>
  </si>
  <si>
    <t>941 94-4031</t>
  </si>
  <si>
    <t>941 94-4081</t>
  </si>
  <si>
    <t>Demontáž ochranné sítě z umělých vláken</t>
  </si>
  <si>
    <t>Montáž záchytné stříšky H 4,5 m, šířky do 2 m</t>
  </si>
  <si>
    <t>Příplatek za každý měsíc použ.stříšky, k pol. 5012</t>
  </si>
  <si>
    <t>Demontáž záchytné stříšky H 4,5 m, šířky do 2 m</t>
  </si>
  <si>
    <t>941 94-5812</t>
  </si>
  <si>
    <t>Naložení, odvoz sypaniny (výkopku), likvidace v souladu se zákonem č. 185/2001 Sb., o odpadech, dle technlogie a místa určené zhotovitelem, včetně poplatků za uložení sypaniny (výkopku</t>
  </si>
  <si>
    <t>622 47-1317</t>
  </si>
  <si>
    <t>Nátěr nebo nástřik stěn vnějších, složitost 1 - 2</t>
  </si>
  <si>
    <t>Položka nátěru platí pro jakoukoliv barvu v provedení a spotřebě hmot podle předpisu výrobce. Směrná tloušťka u nátěru je cca 1 mm, u nástřiku cca 2 mm. Rovnost podkladu musí odpovídat technologickým předpisům.</t>
  </si>
  <si>
    <t>713</t>
  </si>
  <si>
    <t xml:space="preserve"> Izolace tepelná</t>
  </si>
  <si>
    <t>Izolace tepelná</t>
  </si>
  <si>
    <t>kus</t>
  </si>
  <si>
    <t>998 71-3203</t>
  </si>
  <si>
    <t>Přesun hmot pro izolace tepelné, výšky do 24 m</t>
  </si>
  <si>
    <t>Strojovny výtahu</t>
  </si>
  <si>
    <t>712</t>
  </si>
  <si>
    <t>Povlakove krytiny</t>
  </si>
  <si>
    <t>712 30-0841</t>
  </si>
  <si>
    <t>Plocha střechy nad obytnou plochou</t>
  </si>
  <si>
    <t>Vodorovná část atiky</t>
  </si>
  <si>
    <t>Svislá část atiky</t>
  </si>
  <si>
    <t>Střešní nástavby</t>
  </si>
  <si>
    <t>712 49-1175</t>
  </si>
  <si>
    <t>Připevnění izolace kotvicími pásky, úhelníky, dodávka a montáž</t>
  </si>
  <si>
    <t>Systémové prvky pro provedení pokládky fólie - lišty, rohy, kouty, zakončovací profily</t>
  </si>
  <si>
    <t>712 39-1171</t>
  </si>
  <si>
    <t>Povlaková krytina střech do 10°ochranná textilie</t>
  </si>
  <si>
    <t>Geotextilie 300 g/m2</t>
  </si>
  <si>
    <t>R-712 hlavice</t>
  </si>
  <si>
    <t>Montáž podtlakových hlavic</t>
  </si>
  <si>
    <t>ks</t>
  </si>
  <si>
    <t>SPC</t>
  </si>
  <si>
    <t>Dodávka podtlakových (vakuových) hlavic</t>
  </si>
  <si>
    <t>998 71-2203</t>
  </si>
  <si>
    <t>Presun povlak kytina objekt v -24m</t>
  </si>
  <si>
    <t>Povlakové krytiny</t>
  </si>
  <si>
    <t>713 13-1143</t>
  </si>
  <si>
    <t>Montáž izolace na tmel a hmožd.4 ks/m2, beton</t>
  </si>
  <si>
    <t>283754924</t>
  </si>
  <si>
    <t>Deska z XPS pro použití ploché střechy - podklad pod OSB desku na atikách střech</t>
  </si>
  <si>
    <t>Ocisteni podkladu střech plochých</t>
  </si>
  <si>
    <t>Zdravotně technické instalace</t>
  </si>
  <si>
    <t>D+M odvětrávacího potrubí kanalizace z PVC d 150 mm, délky 1,0 m</t>
  </si>
  <si>
    <t>998 73-5202</t>
  </si>
  <si>
    <t>Presun hmot ZTI objekt v -m</t>
  </si>
  <si>
    <t>762</t>
  </si>
  <si>
    <t>Konstrukce tesarske</t>
  </si>
  <si>
    <t>Atika střechy</t>
  </si>
  <si>
    <t>60726123 MAT</t>
  </si>
  <si>
    <t>Deska dřevoštěpková OSB 3 B 4PD tl. 22 mm</t>
  </si>
  <si>
    <t xml:space="preserve">OSB3 - konstrukční deska pro použití ve vlhkém prostředí  B - broušená strana 4PD - pero/drážka po celém obvodu desky  rozměr 250 x 67,5 cm  </t>
  </si>
  <si>
    <t>998 76-2203</t>
  </si>
  <si>
    <t>Presun tesarske kce objekt v -24m</t>
  </si>
  <si>
    <t>721</t>
  </si>
  <si>
    <t>721 21-0823</t>
  </si>
  <si>
    <t>Demontáž střešní vpusti DN 125</t>
  </si>
  <si>
    <t>725 - odvětrání</t>
  </si>
  <si>
    <t>721 23-3116</t>
  </si>
  <si>
    <t>Montáž střešního vtoku DN 125</t>
  </si>
  <si>
    <t>Dvoustupňová střešní vpusť</t>
  </si>
  <si>
    <t>Tepelná izolace  z fenolické pěny, rovná hrana po obvodu.  Formát: 1250 x 600 mm  Souč. tepelné vodivosti 0,023</t>
  </si>
  <si>
    <t>Deska z fenolické pěny - podklad 600x600 mm pod osazení střešní vpusti</t>
  </si>
  <si>
    <t>4,32*1,1</t>
  </si>
  <si>
    <t>56248114 MAT</t>
  </si>
  <si>
    <t>Demontáž oplechování zdí,rš od 330 do 500 mm</t>
  </si>
  <si>
    <t>Oplechování atiky na střšeše a strojovny výtahu</t>
  </si>
  <si>
    <t>764 31-7800</t>
  </si>
  <si>
    <t>Demontáž krytiny hladké železobetonových desek</t>
  </si>
  <si>
    <t>Atika strojoven     19,60*12*+4,20*12</t>
  </si>
  <si>
    <t>Konstrukce truhlářské</t>
  </si>
  <si>
    <t>Demontáž podkladových roštů obložení stěn</t>
  </si>
  <si>
    <t>766 41-1822</t>
  </si>
  <si>
    <t>766 41-1811</t>
  </si>
  <si>
    <t>Demontáž obložení stěn panely velikosti do 1,5 m2</t>
  </si>
  <si>
    <t>998 76-6203</t>
  </si>
  <si>
    <t>K03</t>
  </si>
  <si>
    <t>K07</t>
  </si>
  <si>
    <t>767 99-6803</t>
  </si>
  <si>
    <t>Demontáž atypických ocelových konstr. do 250 kg</t>
  </si>
  <si>
    <t>Presun truhlarske kce objekt v -24m</t>
  </si>
  <si>
    <t>Konstrukce tesařské</t>
  </si>
  <si>
    <t>95</t>
  </si>
  <si>
    <t>Různé dokončovací konstrukce a práce</t>
  </si>
  <si>
    <t>Různé dokončovací práce</t>
  </si>
  <si>
    <t>Ochrana střechy pod lešením z geotextilie</t>
  </si>
  <si>
    <t>R-Ochr. střechy</t>
  </si>
  <si>
    <t>Tuhe desky (hobra apod.)+textilie</t>
  </si>
  <si>
    <t>979 01-1111</t>
  </si>
  <si>
    <t>Svislá doprava suti a vybouraných hmot za prvé podlaží</t>
  </si>
  <si>
    <t>979 01-1121</t>
  </si>
  <si>
    <t>979 08-1111</t>
  </si>
  <si>
    <t>Odvoz suti a vybouraných hmot na skládku do 1 km</t>
  </si>
  <si>
    <t>979 08-1121</t>
  </si>
  <si>
    <t>Příplatek zakaždý další 1 km</t>
  </si>
  <si>
    <t>113 10-6121</t>
  </si>
  <si>
    <t>Rozebrání dlažeb z betonových dlaždic na sucho</t>
  </si>
  <si>
    <t>Stávající okapový chodník</t>
  </si>
  <si>
    <t>Rozebrání dlažeb s přemístěním na skládku na vzdálenost do 3 m nebo s naložením na dopravní prostředek</t>
  </si>
  <si>
    <t>R-přebyt. zemina</t>
  </si>
  <si>
    <t>162 70-1105</t>
  </si>
  <si>
    <t>Náklady s odvozem a uložením přebytečné zeminy do 10 km</t>
  </si>
  <si>
    <t>R-dlažba</t>
  </si>
  <si>
    <t>Dvoustupňová střešní vpusť - spodní část s integrovanou bitumenovou manžetou, horní s manžetou z PVC</t>
  </si>
  <si>
    <t>764 25-2603</t>
  </si>
  <si>
    <t>764 25-2492</t>
  </si>
  <si>
    <t>Montáž háků z Ti Zn půlkruhových</t>
  </si>
  <si>
    <t>55351590 SPC</t>
  </si>
  <si>
    <t>TiZn žlabový hák pro uchycení žlabu rš 250 mm, délka 430 mm</t>
  </si>
  <si>
    <t>764 25-9615</t>
  </si>
  <si>
    <t>764 55-1613</t>
  </si>
  <si>
    <t>R-Osvětlení</t>
  </si>
  <si>
    <t>* Demontáž stávajícího osvětlení vstupů
* Uschování po dobu provádění stavebních prací
* Úprava kabeláže - prodložení o tl. zateplení
* Zpětná montáž osvětlení po ukončení zateplovacích prací</t>
  </si>
  <si>
    <t>R-Orient. značky</t>
  </si>
  <si>
    <t>Dmtž, uschování a zpětná montáž stávajícího osvětlení nad vstupy</t>
  </si>
  <si>
    <t>Dmtž, uschování a zpětná montáž stávajících čísel popisných a orient.</t>
  </si>
  <si>
    <t>* Demontáž stávajících značek čísel popisných a orientačních
* Uschování po dobu provádění stavebních prací
* Zpětná montáž označení po ukončení zateplovacích prací</t>
  </si>
  <si>
    <t>R-Satelity</t>
  </si>
  <si>
    <t>Dmtž, předání k uschování a zpětná montáž stávajících parabol satelitů</t>
  </si>
  <si>
    <t>* Demontáž stávajících parabol satelitů
* Předání k uschování nájemníkům po dobu provádění stavebních prací
* Zpětná montáž parabol satelitů po ukončení zateplovacích prací</t>
  </si>
  <si>
    <t xml:space="preserve"> 004 15 227</t>
  </si>
  <si>
    <t xml:space="preserve"> 646 18 633</t>
  </si>
  <si>
    <t>Kotlík závěsný TiZnpůlkulatý,400/100 mm</t>
  </si>
  <si>
    <t>Koleno z Ti Zn 72°, kruhové, D 100 mm</t>
  </si>
  <si>
    <t>Svod z Ti Zn, kruhový, D 100 mm, vč. zděří</t>
  </si>
  <si>
    <t>767 99-5101</t>
  </si>
  <si>
    <t>Montáž atypických konstrukcí hmotnosti do 5 kg</t>
  </si>
  <si>
    <t>R-KM</t>
  </si>
  <si>
    <t>Kotevní místo pro jištěni pracovníků udržba na střeše</t>
  </si>
  <si>
    <t>D+M ocelové plášťové kotvy s okem M12x80, s povrchovou úpravou zinkováním</t>
  </si>
  <si>
    <t>Strojovny výtahu     2 ks/strojovnu</t>
  </si>
  <si>
    <t>Izolace z fenolické pěny tl. 100 mm</t>
  </si>
  <si>
    <t>HZS</t>
  </si>
  <si>
    <t>FeZn 30 x 4</t>
  </si>
  <si>
    <t>SO</t>
  </si>
  <si>
    <t>ochranný úhelník + 2x držák</t>
  </si>
  <si>
    <t>zemnící tyč 2m, svorka</t>
  </si>
  <si>
    <t>hod</t>
  </si>
  <si>
    <t>Jímací tyč s podstavcem  2m, 2x distanční vzpěra 100cm - komplet (oddálený hromosvod pro stávající antény)</t>
  </si>
  <si>
    <t>Izolace z XPS tl. 80 mm</t>
  </si>
  <si>
    <t>743 64-2100</t>
  </si>
  <si>
    <t>Mtz zemnic tyci -2 m</t>
  </si>
  <si>
    <t>743 62-4300</t>
  </si>
  <si>
    <t>Tvarovani prvku hromosvodu</t>
  </si>
  <si>
    <t>743 62-9300</t>
  </si>
  <si>
    <t>Mtz hromosvod stitku</t>
  </si>
  <si>
    <t>743 99-2100</t>
  </si>
  <si>
    <t>Mereni zemnich odporu site-100 m</t>
  </si>
  <si>
    <t>743 62-1110</t>
  </si>
  <si>
    <t>Mtz hromosvod dratu s podper -10 mm</t>
  </si>
  <si>
    <t>743 62-2210</t>
  </si>
  <si>
    <t>Mtz hromosvod svorek se 2 srouby</t>
  </si>
  <si>
    <t>743 62-2200</t>
  </si>
  <si>
    <t>Mtz hromosvod svorek se 3 srouby</t>
  </si>
  <si>
    <t>743 62-4110</t>
  </si>
  <si>
    <t>Mtz hromosvod ochr uhelnik do zdiva</t>
  </si>
  <si>
    <t>743 63-1500</t>
  </si>
  <si>
    <t>460 12-0081RT1</t>
  </si>
  <si>
    <t>Násyp zeminy, hornina třídy 1-2, složení, rozprost. a udusání zeminy</t>
  </si>
  <si>
    <t>460 65-0022RT2</t>
  </si>
  <si>
    <t>Vozovka jednovrstvá z betonu 10 cm</t>
  </si>
  <si>
    <t>460 03-0081RT3</t>
  </si>
  <si>
    <t>Řezání drážky v asfaltu nebo betonu</t>
  </si>
  <si>
    <t>46</t>
  </si>
  <si>
    <t>Zemní práce při montážích</t>
  </si>
  <si>
    <t>Pro zemění v bet. plochách</t>
  </si>
  <si>
    <t>Odečet z výkresu hromosvodů</t>
  </si>
  <si>
    <t>460 R</t>
  </si>
  <si>
    <t>Odstranění krytu z betonu tloušťky do 5cm</t>
  </si>
  <si>
    <t>74</t>
  </si>
  <si>
    <t>Elektromontážní práce (silnoproud)</t>
  </si>
  <si>
    <t>Rozvody po střeše</t>
  </si>
  <si>
    <t>354 SPC</t>
  </si>
  <si>
    <t>Drát AlMgSi 8 mm</t>
  </si>
  <si>
    <t>Drát FeZn 10 mm</t>
  </si>
  <si>
    <t>Plastová podpěra vedení po střeše</t>
  </si>
  <si>
    <t>Podpěra vedení PV prodloužená - vedení po fasádě</t>
  </si>
  <si>
    <t>SZ</t>
  </si>
  <si>
    <t>Mtz jimacich tyci s podpěrou</t>
  </si>
  <si>
    <t>Hodinová sazba</t>
  </si>
  <si>
    <t>Demontáž stávajícího hromosvodu, likvidace</t>
  </si>
  <si>
    <t>HZS 1</t>
  </si>
  <si>
    <t>HZS 2</t>
  </si>
  <si>
    <t>Výchozí revize</t>
  </si>
  <si>
    <t>Viz samostatný rozpočet - hromosvody</t>
  </si>
  <si>
    <t>M46</t>
  </si>
  <si>
    <t>M74</t>
  </si>
  <si>
    <t>Zemní práce při montážích - viz samostatný rozpočet</t>
  </si>
  <si>
    <t>Elektromontážní práce (silnoproud) - viz samostatný rozpočet</t>
  </si>
  <si>
    <t>Náklady spojené s odvozema  likvidací stavební pařezů</t>
  </si>
  <si>
    <t>741,080*0,023</t>
  </si>
  <si>
    <t>Atypické prvky    2 ks</t>
  </si>
  <si>
    <t>(25,64+4,80+18,95+18,85+1,20+22,24+2,05+3,90+16,45+(1,20*2+0,20)*20)*0,50</t>
  </si>
  <si>
    <t>(25,64+4,80+18,95+18,85+1,20+22,24+2,05+3,90+16,45+(1,20*2+0,20)*20)*0,50*0,10</t>
  </si>
  <si>
    <t>RTS I / 2016</t>
  </si>
  <si>
    <t>Odstranění podkladu nad 50 m2,kam.těžené tl.15 cm</t>
  </si>
  <si>
    <t>113 10-7415</t>
  </si>
  <si>
    <t xml:space="preserve">Odhad kolem stavby  (25,64+4,80+18,95+18,85+1,20+22,24+2,05+3,90+16,45)*5,00 </t>
  </si>
  <si>
    <t>451 57-1211</t>
  </si>
  <si>
    <t>Lože dlažby z kam. těženého hrubého tl. do 10 cm</t>
  </si>
  <si>
    <t>Strojovna výtahu</t>
  </si>
  <si>
    <t>(25,64+4,80+18,95+18,85+1,20+22,24+2,05+3,90+16,45+(1,20*2+0,20)*20)*0,50*0,12</t>
  </si>
  <si>
    <t>450,15+222,46+34,65</t>
  </si>
  <si>
    <t>(87,28+66,08+25,70)*0,35</t>
  </si>
  <si>
    <t>(87,28+66,08+25,70)*0,25</t>
  </si>
  <si>
    <t>(3,60*11+5,40*9)*0,45</t>
  </si>
  <si>
    <t>Fólie hydroizolační, šedá, mPVC tl 1,6mm, s PES mřížkou, s protiskluznou úpravou</t>
  </si>
  <si>
    <t>28322311</t>
  </si>
  <si>
    <t>87,28+66,08+25,70</t>
  </si>
  <si>
    <t>Profil vnitřní 100/40</t>
  </si>
  <si>
    <t>28322911</t>
  </si>
  <si>
    <t>28322914</t>
  </si>
  <si>
    <t>Zakončovací tmelící lišta pojistná</t>
  </si>
  <si>
    <t>Povlaková krytina je provedena z geotextilie 300 g/m2 položenou volně.</t>
  </si>
  <si>
    <t>67390330</t>
  </si>
  <si>
    <t>Podtlakové hlavice v ploše střechy nad obytnou plochou</t>
  </si>
  <si>
    <t xml:space="preserve">Tepelná izolace  Vroubkovaný povrch, rovná hrana po obvodu.  Formát: 1250 x 600 mm (krycí plocha 0,75 m2)  </t>
  </si>
  <si>
    <t>62,671*1,1</t>
  </si>
  <si>
    <t>0,60*0,60*3</t>
  </si>
  <si>
    <t>762 44-1113</t>
  </si>
  <si>
    <t>Montáž obložení atiky,OSB desky,1vrst.,hmoždinkami</t>
  </si>
  <si>
    <t>(87,28+66,08+25,70)*0,30</t>
  </si>
  <si>
    <t>Nad posledními lodžiemi     1,20*(25,34+7,35*2+18,15)</t>
  </si>
  <si>
    <t>123,546*1,05</t>
  </si>
  <si>
    <t>712 36-1702</t>
  </si>
  <si>
    <t>Povlaková krytina fóliového typu do 10°, fólie lepená bodově</t>
  </si>
  <si>
    <t>Krytina na zastřešení posledních lodžií</t>
  </si>
  <si>
    <t>1,20*(25,34+7,35*2+18,12)</t>
  </si>
  <si>
    <t>Svislá část</t>
  </si>
  <si>
    <t>0,30*(25,34+7,35*2+18,12)</t>
  </si>
  <si>
    <t>28322915</t>
  </si>
  <si>
    <t>Atiková okapnice Rš 200</t>
  </si>
  <si>
    <t>(25,34+7,35*2+18,12)*3+8*1,20</t>
  </si>
  <si>
    <t>Strojovna výtahu    3,60m</t>
  </si>
  <si>
    <t>Demontáž kotlíku sběrného na ploché střeše</t>
  </si>
  <si>
    <t>764 35-9841</t>
  </si>
  <si>
    <t>764 45-4803</t>
  </si>
  <si>
    <t>Demontáž odpadních trub kruhových,D 150 mm</t>
  </si>
  <si>
    <t xml:space="preserve"> 1,20*(25,34+7,35*2+18,15)</t>
  </si>
  <si>
    <t>Plechová krytina stříšek nad posledními lodžiemi</t>
  </si>
  <si>
    <t>764 43-0840</t>
  </si>
  <si>
    <t>Odvodnění lodžií ve 2.NP</t>
  </si>
  <si>
    <t>Odvodnění lodžií ve 2.NP        2*8 ks</t>
  </si>
  <si>
    <t>2x2 ks</t>
  </si>
  <si>
    <t>Žlab podokapní půlkulatý TiZn rš. 200 mm</t>
  </si>
  <si>
    <t>764 25-2631</t>
  </si>
  <si>
    <t>Čelo žlabu půlkulatého TiZn rš.200 mm</t>
  </si>
  <si>
    <t>764 25-9648</t>
  </si>
  <si>
    <t>Kotlík závěsný TiZn hranatý,400/120 mm</t>
  </si>
  <si>
    <t>3 x4 ks</t>
  </si>
  <si>
    <t>4*(4,50+1,10)</t>
  </si>
  <si>
    <t>764 55-1603RV1</t>
  </si>
  <si>
    <t>764 55-1604RV1</t>
  </si>
  <si>
    <t>Svod z Ti Zn, kruhový, D 120 mm, vč. zděří</t>
  </si>
  <si>
    <t>K09</t>
  </si>
  <si>
    <t>(25,34+7,35*2+18,12++8*1,20)*1,1</t>
  </si>
  <si>
    <t>(25,34+7,35*2+18,12)*1,1</t>
  </si>
  <si>
    <t>Rošt pod obložením dřev. lamelama</t>
  </si>
  <si>
    <t>0,45*(13,025+21,75*2)</t>
  </si>
  <si>
    <t>Obložení stěn štítů dřevěnýma lamelami</t>
  </si>
  <si>
    <t>Demontáž stávajícího zábradlí na lodžiích</t>
  </si>
  <si>
    <t>Obložení lodžiového zábradlí     3,60*1,20*108</t>
  </si>
  <si>
    <t>(12+49+12+35)*135</t>
  </si>
  <si>
    <t>Demontáž atypických ocelových konstr. do 50 kg</t>
  </si>
  <si>
    <t>767 99-6801</t>
  </si>
  <si>
    <t>Demontáž stávajícího zábradlí na fr. oknech</t>
  </si>
  <si>
    <t>4 ks á 22 kg</t>
  </si>
  <si>
    <t>767 99-9802</t>
  </si>
  <si>
    <t>Demontáž stávajícího zasklení lodžií</t>
  </si>
  <si>
    <t>4 ks á 75 kg</t>
  </si>
  <si>
    <t>Sušáku na prádlo v lodžiích, vč. distančních trubek a kotevních šroubů</t>
  </si>
  <si>
    <t>108 ks*1,2 kg/ks</t>
  </si>
  <si>
    <t>Al zábradlí před fr. okny ve 2.NP, vč. dist. trubek přes zateplení</t>
  </si>
  <si>
    <t>Al zábradlí před fr. oknem, š 1000 mm, v 950 mm, tyčové</t>
  </si>
  <si>
    <t>4 kusy</t>
  </si>
  <si>
    <t xml:space="preserve">767 Sušáky </t>
  </si>
  <si>
    <t>Stávající kovové konstrukce na střeše a fasádě - VTZ jednotky, potrubí, skříně apod</t>
  </si>
  <si>
    <t>Skříně odhad   8,00 m2</t>
  </si>
  <si>
    <t>((2,10+0,60)*2*0,45+2,10*0,45)*11</t>
  </si>
  <si>
    <t>(0,90*4*0,65+0,90*0,90)*14</t>
  </si>
  <si>
    <t>3,14*0,20*0,20*2,40*15</t>
  </si>
  <si>
    <t>631 31-2511</t>
  </si>
  <si>
    <t>Mazanina betonová tl. 5 - 8 cm C 12/15</t>
  </si>
  <si>
    <t>Položka je pro mazaninu hlazenou dřevěným hladítkem a to pro mazaninu krycí, popř. podkladní nebo vyrovnávací nebo plovoucí, pod potěry, vlýsky do asfaltu, pod podlahy</t>
  </si>
  <si>
    <t>Bet. mazanina na lodžiích</t>
  </si>
  <si>
    <t>1,20*3,60*0,065*108</t>
  </si>
  <si>
    <t>(3,90+2,05+1,20+22,24+1,20+1,20+18,84+2*1,20)*21,90</t>
  </si>
  <si>
    <t>(16,45+1,00*2+0,30)*20,90</t>
  </si>
  <si>
    <t>(14,90+2*1,20)*16,45</t>
  </si>
  <si>
    <t>(25,64+4,80+2*1,20)*21,70+(18,95+2*1,20)*22,45</t>
  </si>
  <si>
    <t>944 94-5012</t>
  </si>
  <si>
    <t>944 94-5192</t>
  </si>
  <si>
    <t>R-Zastřešení vstupu</t>
  </si>
  <si>
    <t>Dmtž, uschování, úprava a zětná montáž části stávajícího zastřešní předního vstupu</t>
  </si>
  <si>
    <t>* Demontáž stávajícího zasklení polykarbonátem - jedno pole
* Snesení a uschování po dobu provádění stavebních prací
* Úprava - zkrácení zasklení o tloušťku zateplení
* Zpětná montáž zasklení po ukončení zateplovacích prací</t>
  </si>
  <si>
    <t>Dmtž, uschování, úprava a zětná montáž části stávajícího zastřešní bočního vstupu</t>
  </si>
  <si>
    <t>Ochrana stávajícího zastřešení vstupu geotextilie 300 g/m2</t>
  </si>
  <si>
    <t>R-Ochr. vstupu</t>
  </si>
  <si>
    <t>Stávající polykarbonátové nadstřešení předního vstupu - odhad 40 m2</t>
  </si>
  <si>
    <t>Příplatek k suti za každé další podlaží</t>
  </si>
  <si>
    <t>979 08-6112</t>
  </si>
  <si>
    <t>Nakládání nebo překládání suti a vybouraných hmot</t>
  </si>
  <si>
    <t>979 99-0001</t>
  </si>
  <si>
    <t>R-okap. dlažba</t>
  </si>
  <si>
    <t>Odstranění okapové dlažby</t>
  </si>
  <si>
    <t>Betonové dlačdice 50x50x4,5 cm, viz oddíl 1, 27 kg/ks</t>
  </si>
  <si>
    <t>(108*(3,60+2*1,00))*0,10</t>
  </si>
  <si>
    <t>sokly v lodžiích</t>
  </si>
  <si>
    <t>R-zábradlí</t>
  </si>
  <si>
    <t>Stávající zábradlí na lodžiích     dle oddílu 767    14,58t</t>
  </si>
  <si>
    <t>R-dřev. obklady</t>
  </si>
  <si>
    <t>Stávající dřev. obklad fasády a zábradlí, dle oddílu 766</t>
  </si>
  <si>
    <t>998 01-1033</t>
  </si>
  <si>
    <t>Přesun hmot pro budovy z bloků výšky do 24 m</t>
  </si>
  <si>
    <t>Zateplení obvodového a střešního pláště a rekonstrukce balkónových konstrukcí domu s pečovatelskou službou na ul. Česká 320 v Kopřivnici</t>
  </si>
  <si>
    <t xml:space="preserve"> Město Kopřivnice, Štefánikova 1163, 742 21  Kopřivnice</t>
  </si>
  <si>
    <t>767 Zasklení lodžií</t>
  </si>
  <si>
    <t>Dmtž, uschování a zpětná montáž stávajícího zasklení lodžií</t>
  </si>
  <si>
    <t>* Demontáž stávajícího horního zasklení lodžií
* Snesení a uschování po dobu provádění stavebních prací
* Úprava - zkrácení zasklení o tloušťku zateplení
* Zpětná montáž zasklení po ukončení zateplovacích prací</t>
  </si>
  <si>
    <t>Obě průčelí ve schodištích - již zatepleno      3,45*(17,60+20,025)</t>
  </si>
  <si>
    <t>767 99-5104</t>
  </si>
  <si>
    <t>4 ks*45 kg/ks</t>
  </si>
  <si>
    <t>Dodávka atypických konstrukcí, Z02, viz výpis</t>
  </si>
  <si>
    <t>Žebřík na střechu strojovny</t>
  </si>
  <si>
    <t>1 ks *45 kg/ks</t>
  </si>
  <si>
    <t>Dodávka ocelového žebříku, viz výpis</t>
  </si>
  <si>
    <t>Ocelový, žárově zinkovaný, délka 4,00 m</t>
  </si>
  <si>
    <t>1 ks</t>
  </si>
  <si>
    <t>Dodávka typizovaných sušáků na prádlo, posuvné upevnění šňůr, viz výpis</t>
  </si>
  <si>
    <t>767 - Z02</t>
  </si>
  <si>
    <t>767 - žebřík Z03</t>
  </si>
  <si>
    <t>Montáž atypických konstrukcí hmotnosti do 50 kg, viz výpis, Z02, Z03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</si>
  <si>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</si>
  <si>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</si>
  <si>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</si>
  <si>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</si>
  <si>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</si>
  <si>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</si>
  <si>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</si>
  <si>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</si>
  <si>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</si>
  <si>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</si>
  <si>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</si>
  <si>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</si>
  <si>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</si>
  <si>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</si>
  <si>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</si>
  <si>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</si>
  <si>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</si>
  <si>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</si>
  <si>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</si>
  <si>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</si>
  <si>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</si>
  <si>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</si>
  <si>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</si>
  <si>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</si>
  <si>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</si>
  <si>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</si>
  <si>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</si>
  <si>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</si>
  <si>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</si>
  <si>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</si>
  <si>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</si>
  <si>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</si>
  <si>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</si>
  <si>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</si>
  <si>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</si>
  <si>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</si>
  <si>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</si>
  <si>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</si>
  <si>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39</t>
  </si>
  <si>
    <t>40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</si>
  <si>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</si>
  <si>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</si>
  <si>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</si>
  <si>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</si>
  <si>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</si>
  <si>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</si>
  <si>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</si>
  <si>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</si>
  <si>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</si>
  <si>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</si>
  <si>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</si>
  <si>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</si>
  <si>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</si>
  <si>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</si>
  <si>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</si>
  <si>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</si>
  <si>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</si>
  <si>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</si>
  <si>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</si>
  <si>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</si>
  <si>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</si>
  <si>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</si>
  <si>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</si>
  <si>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</si>
  <si>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</si>
  <si>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</si>
  <si>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</si>
  <si>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</si>
  <si>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</si>
  <si>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</si>
  <si>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</si>
  <si>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</si>
  <si>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</si>
  <si>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</si>
  <si>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</si>
  <si>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</si>
  <si>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</si>
  <si>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</si>
  <si>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</si>
  <si>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</si>
  <si>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</si>
  <si>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</si>
  <si>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</si>
  <si>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</si>
  <si>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</si>
  <si>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</si>
  <si>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</si>
  <si>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100</t>
  </si>
  <si>
    <t>101</t>
  </si>
  <si>
    <t>102</t>
  </si>
  <si>
    <t>103</t>
  </si>
  <si>
    <t>104</t>
  </si>
  <si>
    <t>105</t>
  </si>
  <si>
    <t>106</t>
  </si>
  <si>
    <t>801 19</t>
  </si>
  <si>
    <t>VÝKAZ VÝMĚR - NEZPŮSOBILÉ</t>
  </si>
  <si>
    <t>VÝKAZ VÝMĚR - NÁKLADY NEZPŮSOBILÉ</t>
  </si>
  <si>
    <t>2*(3,60+1,80)*2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</si>
</sst>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  <numFmt numFmtId="167" formatCode="#,##0.00_ ;[Red]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_ ;[Red]\-#,##0\ "/>
    <numFmt numFmtId="172" formatCode="#,##0.00\ &quot;Kč&quot;"/>
    <numFmt numFmtId="173" formatCode="#,##0.0"/>
    <numFmt numFmtId="174" formatCode="0.0"/>
    <numFmt numFmtId="175" formatCode="_-* #,##0.0\ _K_č_-;\-* #,##0.0\ _K_č_-;_-* &quot;-&quot;??\ _K_č_-;_-@_-"/>
    <numFmt numFmtId="176" formatCode="_-* #,##0\ _K_č_-;\-* #,##0\ _K_č_-;_-* &quot;-&quot;??\ _K_č_-;_-@_-"/>
    <numFmt numFmtId="177" formatCode="0.0000"/>
    <numFmt numFmtId="178" formatCode="#,##0.00;[Red]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_-* #,##0.000\ _K_č_-;\-* #,##0.000\ _K_č_-;_-* &quot;-&quot;??\ _K_č_-;_-@_-"/>
    <numFmt numFmtId="184" formatCode="_-* #,##0.0000\ _K_č_-;\-* #,##0.0000\ _K_č_-;_-* &quot;-&quot;??\ _K_č_-;_-@_-"/>
  </numFmts>
  <fonts count="59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8"/>
      <color indexed="18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sz val="8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2"/>
      <name val="Arial CE"/>
      <family val="2"/>
    </font>
    <font>
      <sz val="8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3"/>
      <name val="Arial CE"/>
      <family val="2"/>
    </font>
    <font>
      <sz val="8"/>
      <color rgb="FF0070C0"/>
      <name val="Arial CE"/>
      <family val="2"/>
    </font>
    <font>
      <sz val="10"/>
      <color rgb="FF0070C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42" fillId="21" borderId="0" applyNumberFormat="0" applyBorder="0" applyAlignment="0" applyProtection="0"/>
    <xf numFmtId="0" fontId="43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8" fillId="23" borderId="0" applyNumberFormat="0" applyBorder="0" applyAlignment="0" applyProtection="0"/>
    <xf numFmtId="0" fontId="0" fillId="0" borderId="0">
      <alignment/>
      <protection/>
    </xf>
    <xf numFmtId="0" fontId="8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9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7" fillId="20" borderId="0">
      <alignment horizontal="right"/>
      <protection/>
    </xf>
    <xf numFmtId="0" fontId="52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53" fillId="27" borderId="13" applyNumberFormat="0" applyAlignment="0" applyProtection="0"/>
    <xf numFmtId="0" fontId="54" fillId="27" borderId="14" applyNumberFormat="0" applyAlignment="0" applyProtection="0"/>
    <xf numFmtId="0" fontId="5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322">
    <xf numFmtId="0" fontId="0" fillId="0" borderId="0" xfId="0" applyAlignment="1">
      <alignment/>
    </xf>
    <xf numFmtId="4" fontId="0" fillId="0" borderId="12" xfId="71" applyProtection="1">
      <alignment/>
      <protection locked="0"/>
    </xf>
    <xf numFmtId="0" fontId="0" fillId="0" borderId="0" xfId="0" applyFont="1" applyAlignment="1">
      <alignment/>
    </xf>
    <xf numFmtId="0" fontId="0" fillId="0" borderId="15" xfId="69" applyFont="1" applyBorder="1" applyProtection="1">
      <alignment horizontal="center"/>
      <protection locked="0"/>
    </xf>
    <xf numFmtId="0" fontId="0" fillId="0" borderId="0" xfId="70" applyFont="1" applyProtection="1">
      <alignment/>
      <protection locked="0"/>
    </xf>
    <xf numFmtId="164" fontId="0" fillId="0" borderId="12" xfId="72">
      <alignment/>
      <protection/>
    </xf>
    <xf numFmtId="0" fontId="0" fillId="0" borderId="16" xfId="69" applyNumberFormat="1" applyFont="1" applyBorder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6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8" fillId="0" borderId="24" xfId="62" applyBorder="1">
      <alignment horizontal="left" vertical="center"/>
      <protection/>
    </xf>
    <xf numFmtId="0" fontId="8" fillId="0" borderId="33" xfId="62" applyBorder="1">
      <alignment horizontal="left" vertical="center"/>
      <protection/>
    </xf>
    <xf numFmtId="3" fontId="4" fillId="0" borderId="3" xfId="43" applyBorder="1">
      <alignment vertical="center"/>
      <protection/>
    </xf>
    <xf numFmtId="3" fontId="4" fillId="0" borderId="24" xfId="43" applyBorder="1">
      <alignment vertical="center"/>
      <protection/>
    </xf>
    <xf numFmtId="3" fontId="4" fillId="0" borderId="33" xfId="43" applyBorder="1">
      <alignment vertical="center"/>
      <protection/>
    </xf>
    <xf numFmtId="3" fontId="4" fillId="0" borderId="34" xfId="43" applyBorder="1">
      <alignment vertical="center"/>
      <protection/>
    </xf>
    <xf numFmtId="3" fontId="4" fillId="0" borderId="35" xfId="43" applyBorder="1">
      <alignment vertical="center"/>
      <protection/>
    </xf>
    <xf numFmtId="3" fontId="4" fillId="0" borderId="36" xfId="43" applyBorder="1">
      <alignment vertical="center"/>
      <protection/>
    </xf>
    <xf numFmtId="3" fontId="4" fillId="0" borderId="37" xfId="43" applyBorder="1">
      <alignment vertical="center"/>
      <protection/>
    </xf>
    <xf numFmtId="3" fontId="4" fillId="0" borderId="20" xfId="43" applyBorder="1">
      <alignment vertical="center"/>
      <protection/>
    </xf>
    <xf numFmtId="0" fontId="8" fillId="0" borderId="30" xfId="0" applyFont="1" applyBorder="1" applyAlignment="1">
      <alignment vertical="top"/>
    </xf>
    <xf numFmtId="3" fontId="4" fillId="34" borderId="34" xfId="43" applyFill="1" applyBorder="1">
      <alignment vertical="center"/>
      <protection/>
    </xf>
    <xf numFmtId="0" fontId="8" fillId="0" borderId="8" xfId="62" applyBorder="1" applyAlignment="1">
      <alignment horizontal="left" vertical="center"/>
      <protection/>
    </xf>
    <xf numFmtId="0" fontId="8" fillId="0" borderId="27" xfId="62" applyBorder="1" applyAlignment="1">
      <alignment horizontal="left" vertical="center"/>
      <protection/>
    </xf>
    <xf numFmtId="0" fontId="8" fillId="0" borderId="29" xfId="62" applyBorder="1" applyAlignment="1">
      <alignment horizontal="left" vertical="center"/>
      <protection/>
    </xf>
    <xf numFmtId="0" fontId="8" fillId="0" borderId="30" xfId="62" applyBorder="1" applyAlignment="1">
      <alignment horizontal="left" vertical="center"/>
      <protection/>
    </xf>
    <xf numFmtId="0" fontId="8" fillId="0" borderId="25" xfId="62" applyBorder="1" applyAlignment="1">
      <alignment horizontal="left" vertical="center"/>
      <protection/>
    </xf>
    <xf numFmtId="0" fontId="8" fillId="0" borderId="38" xfId="62" applyBorder="1" applyAlignment="1">
      <alignment horizontal="left" vertical="center"/>
      <protection/>
    </xf>
    <xf numFmtId="0" fontId="8" fillId="0" borderId="3" xfId="62" applyBorder="1">
      <alignment horizontal="left" vertical="center"/>
      <protection/>
    </xf>
    <xf numFmtId="0" fontId="8" fillId="0" borderId="39" xfId="62" applyBorder="1">
      <alignment horizontal="left" vertical="center"/>
      <protection/>
    </xf>
    <xf numFmtId="0" fontId="8" fillId="0" borderId="40" xfId="62" applyBorder="1">
      <alignment horizontal="left" vertical="center"/>
      <protection/>
    </xf>
    <xf numFmtId="0" fontId="9" fillId="0" borderId="0" xfId="0" applyFont="1" applyBorder="1" applyAlignment="1">
      <alignment horizontal="right"/>
    </xf>
    <xf numFmtId="3" fontId="4" fillId="0" borderId="41" xfId="43" applyBorder="1">
      <alignment vertical="center"/>
      <protection/>
    </xf>
    <xf numFmtId="3" fontId="4" fillId="0" borderId="42" xfId="43" applyBorder="1">
      <alignment vertical="center"/>
      <protection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4" fillId="0" borderId="0" xfId="43" applyBorder="1">
      <alignment vertical="center"/>
      <protection/>
    </xf>
    <xf numFmtId="0" fontId="13" fillId="0" borderId="0" xfId="0" applyFont="1" applyAlignment="1">
      <alignment vertical="center"/>
    </xf>
    <xf numFmtId="0" fontId="13" fillId="0" borderId="11" xfId="69" applyFont="1" applyAlignment="1" applyProtection="1">
      <alignment horizontal="center" vertical="center"/>
      <protection locked="0"/>
    </xf>
    <xf numFmtId="0" fontId="13" fillId="0" borderId="11" xfId="70" applyFont="1" applyBorder="1" applyAlignment="1" applyProtection="1">
      <alignment vertical="center"/>
      <protection locked="0"/>
    </xf>
    <xf numFmtId="4" fontId="13" fillId="0" borderId="12" xfId="71" applyFont="1" applyAlignment="1" applyProtection="1">
      <alignment vertical="center"/>
      <protection locked="0"/>
    </xf>
    <xf numFmtId="164" fontId="13" fillId="0" borderId="12" xfId="72" applyFont="1" applyAlignment="1">
      <alignment vertical="center"/>
      <protection/>
    </xf>
    <xf numFmtId="0" fontId="13" fillId="0" borderId="0" xfId="0" applyFont="1" applyAlignment="1">
      <alignment vertical="center"/>
    </xf>
    <xf numFmtId="4" fontId="13" fillId="0" borderId="0" xfId="71" applyFont="1" applyBorder="1" applyAlignment="1" applyProtection="1">
      <alignment vertical="center"/>
      <protection locked="0"/>
    </xf>
    <xf numFmtId="0" fontId="2" fillId="0" borderId="4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" fontId="13" fillId="0" borderId="44" xfId="7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2" fillId="0" borderId="43" xfId="7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15" fillId="0" borderId="0" xfId="37" applyFont="1" applyAlignment="1" applyProtection="1">
      <alignment horizontal="center" vertical="center"/>
      <protection/>
    </xf>
    <xf numFmtId="49" fontId="15" fillId="0" borderId="0" xfId="57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38" applyFont="1" applyBorder="1" applyAlignment="1">
      <alignment horizontal="left" vertical="center"/>
    </xf>
    <xf numFmtId="0" fontId="5" fillId="0" borderId="0" xfId="58" applyFont="1" applyBorder="1" applyAlignment="1" applyProtection="1">
      <alignment horizontal="left" vertical="center" wrapText="1"/>
      <protection/>
    </xf>
    <xf numFmtId="49" fontId="5" fillId="0" borderId="0" xfId="50" applyFont="1" applyBorder="1" applyAlignment="1">
      <alignment horizontal="center" vertical="center"/>
    </xf>
    <xf numFmtId="164" fontId="5" fillId="0" borderId="0" xfId="51" applyFont="1" applyAlignment="1">
      <alignment vertical="center"/>
    </xf>
    <xf numFmtId="164" fontId="5" fillId="0" borderId="0" xfId="44" applyFont="1" applyAlignment="1">
      <alignment vertical="center"/>
    </xf>
    <xf numFmtId="4" fontId="5" fillId="0" borderId="0" xfId="34" applyFont="1" applyAlignment="1" applyProtection="1">
      <alignment vertical="center"/>
      <protection/>
    </xf>
    <xf numFmtId="4" fontId="5" fillId="20" borderId="0" xfId="35" applyFont="1" applyAlignment="1">
      <alignment vertical="center"/>
      <protection/>
    </xf>
    <xf numFmtId="0" fontId="57" fillId="0" borderId="0" xfId="82" applyFont="1">
      <alignment/>
      <protection/>
    </xf>
    <xf numFmtId="0" fontId="57" fillId="0" borderId="0" xfId="0" applyFont="1" applyAlignment="1">
      <alignment/>
    </xf>
    <xf numFmtId="164" fontId="57" fillId="0" borderId="0" xfId="51" applyFont="1">
      <alignment/>
    </xf>
    <xf numFmtId="0" fontId="5" fillId="0" borderId="0" xfId="80" applyFont="1" applyAlignment="1">
      <alignment vertical="center"/>
      <protection/>
    </xf>
    <xf numFmtId="49" fontId="14" fillId="0" borderId="0" xfId="39" applyFont="1" applyAlignment="1">
      <alignment vertical="center"/>
    </xf>
    <xf numFmtId="0" fontId="15" fillId="0" borderId="0" xfId="59" applyFont="1" applyAlignment="1">
      <alignment horizontal="left" vertical="center" wrapText="1"/>
    </xf>
    <xf numFmtId="4" fontId="15" fillId="20" borderId="0" xfId="74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10" fontId="5" fillId="0" borderId="0" xfId="67" applyFont="1" applyAlignment="1">
      <alignment vertical="center"/>
    </xf>
    <xf numFmtId="49" fontId="5" fillId="0" borderId="0" xfId="50" applyFont="1" applyFill="1" applyBorder="1" applyAlignment="1">
      <alignment horizontal="center" vertical="center"/>
    </xf>
    <xf numFmtId="49" fontId="5" fillId="0" borderId="0" xfId="38" applyFont="1" applyFill="1" applyBorder="1" applyAlignment="1">
      <alignment horizontal="left" vertical="center"/>
    </xf>
    <xf numFmtId="0" fontId="16" fillId="20" borderId="0" xfId="78" applyFont="1" applyAlignment="1">
      <alignment horizontal="right" vertical="center"/>
      <protection/>
    </xf>
    <xf numFmtId="4" fontId="5" fillId="0" borderId="0" xfId="35" applyFont="1" applyFill="1" applyAlignment="1">
      <alignment vertical="center"/>
      <protection/>
    </xf>
    <xf numFmtId="49" fontId="5" fillId="0" borderId="0" xfId="63" applyFont="1" applyFill="1" applyAlignment="1">
      <alignment horizontal="center" vertical="center"/>
    </xf>
    <xf numFmtId="164" fontId="5" fillId="0" borderId="0" xfId="44" applyFont="1" applyFill="1" applyAlignment="1">
      <alignment vertical="center"/>
    </xf>
    <xf numFmtId="164" fontId="5" fillId="0" borderId="0" xfId="45" applyFont="1" applyFill="1" applyAlignment="1">
      <alignment vertical="center"/>
      <protection/>
    </xf>
    <xf numFmtId="4" fontId="5" fillId="0" borderId="0" xfId="34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57" fillId="0" borderId="0" xfId="50" applyFont="1" applyBorder="1">
      <alignment horizontal="left"/>
    </xf>
    <xf numFmtId="0" fontId="5" fillId="0" borderId="0" xfId="80" applyFont="1" applyFill="1" applyAlignment="1">
      <alignment vertical="center"/>
      <protection/>
    </xf>
    <xf numFmtId="0" fontId="16" fillId="0" borderId="0" xfId="78" applyFont="1" applyFill="1" applyAlignment="1">
      <alignment horizontal="right" vertical="center"/>
      <protection/>
    </xf>
    <xf numFmtId="176" fontId="0" fillId="0" borderId="0" xfId="41" applyNumberFormat="1" applyFont="1" applyAlignment="1">
      <alignment horizontal="right"/>
    </xf>
    <xf numFmtId="49" fontId="13" fillId="0" borderId="11" xfId="70" applyNumberFormat="1" applyFont="1" applyBorder="1" applyAlignment="1" applyProtection="1">
      <alignment vertical="center"/>
      <protection locked="0"/>
    </xf>
    <xf numFmtId="164" fontId="15" fillId="0" borderId="0" xfId="73" applyFont="1" applyFill="1" applyAlignment="1">
      <alignment vertical="center"/>
      <protection/>
    </xf>
    <xf numFmtId="4" fontId="15" fillId="0" borderId="0" xfId="74" applyFont="1" applyFill="1" applyAlignment="1">
      <alignment vertical="center"/>
      <protection/>
    </xf>
    <xf numFmtId="49" fontId="13" fillId="0" borderId="11" xfId="69" applyNumberFormat="1" applyFont="1" applyAlignment="1" applyProtection="1">
      <alignment horizontal="center" vertical="center"/>
      <protection locked="0"/>
    </xf>
    <xf numFmtId="0" fontId="57" fillId="0" borderId="0" xfId="82" applyFont="1" applyAlignment="1">
      <alignment wrapText="1"/>
      <protection/>
    </xf>
    <xf numFmtId="0" fontId="15" fillId="0" borderId="0" xfId="59" applyFont="1" applyFill="1" applyAlignment="1">
      <alignment horizontal="left" vertical="center" wrapText="1"/>
    </xf>
    <xf numFmtId="49" fontId="5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 wrapTex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" fontId="5" fillId="0" borderId="0" xfId="61" applyNumberFormat="1" applyFont="1" applyBorder="1" applyAlignment="1">
      <alignment horizontal="right" vertical="center"/>
      <protection/>
    </xf>
    <xf numFmtId="4" fontId="5" fillId="0" borderId="0" xfId="61" applyNumberFormat="1" applyFont="1" applyBorder="1" applyAlignment="1">
      <alignment vertical="center"/>
      <protection/>
    </xf>
    <xf numFmtId="49" fontId="8" fillId="0" borderId="0" xfId="61" applyNumberFormat="1" applyFont="1" applyBorder="1" applyAlignment="1">
      <alignment horizontal="left"/>
      <protection/>
    </xf>
    <xf numFmtId="49" fontId="5" fillId="0" borderId="0" xfId="61" applyNumberFormat="1" applyFont="1" applyBorder="1" applyAlignment="1">
      <alignment horizontal="left" vertical="top"/>
      <protection/>
    </xf>
    <xf numFmtId="0" fontId="5" fillId="0" borderId="0" xfId="61" applyFont="1" applyBorder="1" applyAlignment="1">
      <alignment vertical="top" wrapText="1"/>
      <protection/>
    </xf>
    <xf numFmtId="49" fontId="5" fillId="0" borderId="0" xfId="61" applyNumberFormat="1" applyFont="1" applyBorder="1" applyAlignment="1">
      <alignment horizontal="center" shrinkToFit="1"/>
      <protection/>
    </xf>
    <xf numFmtId="4" fontId="5" fillId="0" borderId="0" xfId="61" applyNumberFormat="1" applyFont="1" applyBorder="1" applyAlignment="1">
      <alignment horizontal="right"/>
      <protection/>
    </xf>
    <xf numFmtId="4" fontId="5" fillId="0" borderId="0" xfId="61" applyNumberFormat="1" applyFont="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NumberFormat="1" applyBorder="1" applyAlignment="1">
      <alignment horizontal="right"/>
      <protection/>
    </xf>
    <xf numFmtId="0" fontId="0" fillId="0" borderId="0" xfId="61" applyNumberFormat="1" applyBorder="1">
      <alignment/>
      <protection/>
    </xf>
    <xf numFmtId="0" fontId="4" fillId="0" borderId="0" xfId="0" applyNumberFormat="1" applyFont="1" applyAlignment="1">
      <alignment/>
    </xf>
    <xf numFmtId="0" fontId="57" fillId="0" borderId="0" xfId="82" applyFont="1" applyAlignment="1">
      <alignment vertical="center" wrapText="1"/>
      <protection/>
    </xf>
    <xf numFmtId="164" fontId="57" fillId="0" borderId="0" xfId="51" applyFont="1" applyAlignment="1">
      <alignment vertical="center"/>
    </xf>
    <xf numFmtId="49" fontId="15" fillId="0" borderId="0" xfId="61" applyNumberFormat="1" applyFont="1" applyBorder="1" applyAlignment="1">
      <alignment horizontal="center"/>
      <protection/>
    </xf>
    <xf numFmtId="2" fontId="5" fillId="0" borderId="0" xfId="0" applyNumberFormat="1" applyFont="1" applyAlignment="1">
      <alignment vertical="center"/>
    </xf>
    <xf numFmtId="49" fontId="5" fillId="0" borderId="0" xfId="63" applyFont="1" applyFill="1" applyAlignment="1" quotePrefix="1">
      <alignment horizontal="center" vertical="center"/>
    </xf>
    <xf numFmtId="2" fontId="5" fillId="0" borderId="0" xfId="0" applyNumberFormat="1" applyFont="1" applyFill="1" applyAlignment="1">
      <alignment vertical="center"/>
    </xf>
    <xf numFmtId="49" fontId="14" fillId="0" borderId="0" xfId="39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7" fillId="0" borderId="0" xfId="82" applyFont="1" applyAlignment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59" applyFont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49" fontId="57" fillId="0" borderId="0" xfId="50" applyFont="1" applyBorder="1" applyAlignment="1">
      <alignment horizontal="center"/>
    </xf>
    <xf numFmtId="0" fontId="57" fillId="0" borderId="0" xfId="0" applyFont="1" applyAlignment="1">
      <alignment horizontal="center"/>
    </xf>
    <xf numFmtId="164" fontId="57" fillId="0" borderId="0" xfId="45" applyFont="1" applyFill="1" applyAlignment="1">
      <alignment horizontal="center"/>
      <protection/>
    </xf>
    <xf numFmtId="0" fontId="57" fillId="0" borderId="0" xfId="82" applyFont="1" applyAlignment="1">
      <alignment horizontal="center" vertical="center" wrapText="1"/>
      <protection/>
    </xf>
    <xf numFmtId="0" fontId="57" fillId="0" borderId="0" xfId="58" applyFont="1" applyBorder="1" applyAlignment="1" applyProtection="1">
      <alignment horizontal="left" wrapText="1"/>
      <protection/>
    </xf>
    <xf numFmtId="49" fontId="57" fillId="0" borderId="0" xfId="50" applyFont="1" applyBorder="1" applyAlignment="1">
      <alignment vertical="center"/>
    </xf>
    <xf numFmtId="0" fontId="57" fillId="0" borderId="0" xfId="58" applyFont="1" applyBorder="1" applyAlignment="1" applyProtection="1">
      <alignment horizontal="left" vertical="center" wrapText="1"/>
      <protection/>
    </xf>
    <xf numFmtId="49" fontId="57" fillId="0" borderId="0" xfId="50" applyFont="1" applyBorder="1" applyAlignment="1">
      <alignment horizontal="center" vertical="center"/>
    </xf>
    <xf numFmtId="0" fontId="5" fillId="0" borderId="0" xfId="82" applyFont="1" applyAlignment="1">
      <alignment vertical="center" wrapText="1"/>
      <protection/>
    </xf>
    <xf numFmtId="49" fontId="5" fillId="0" borderId="0" xfId="39" applyFont="1" applyAlignment="1">
      <alignment vertical="center"/>
    </xf>
    <xf numFmtId="0" fontId="15" fillId="0" borderId="0" xfId="61" applyFont="1" applyBorder="1" applyAlignment="1">
      <alignment wrapText="1"/>
      <protection/>
    </xf>
    <xf numFmtId="0" fontId="57" fillId="0" borderId="0" xfId="58" applyFont="1" applyBorder="1" applyAlignment="1" applyProtection="1">
      <alignment horizontal="left" wrapText="1"/>
      <protection/>
    </xf>
    <xf numFmtId="0" fontId="57" fillId="0" borderId="0" xfId="58" applyFont="1" applyBorder="1" applyAlignment="1" applyProtection="1">
      <alignment horizontal="left" wrapText="1"/>
      <protection/>
    </xf>
    <xf numFmtId="0" fontId="14" fillId="0" borderId="0" xfId="0" applyFont="1" applyAlignment="1">
      <alignment vertical="center"/>
    </xf>
    <xf numFmtId="0" fontId="57" fillId="0" borderId="0" xfId="82" applyFont="1" applyAlignment="1">
      <alignment vertical="top" wrapText="1"/>
      <protection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5" fillId="0" borderId="0" xfId="80" applyFont="1" applyAlignment="1">
      <alignment horizontal="center" vertical="center"/>
      <protection/>
    </xf>
    <xf numFmtId="49" fontId="5" fillId="0" borderId="0" xfId="38" applyFont="1" applyBorder="1" applyAlignment="1">
      <alignment horizontal="center" vertical="center"/>
    </xf>
    <xf numFmtId="0" fontId="57" fillId="0" borderId="0" xfId="58" applyFont="1" applyBorder="1" applyAlignment="1" applyProtection="1">
      <alignment horizontal="left" wrapText="1"/>
      <protection/>
    </xf>
    <xf numFmtId="0" fontId="57" fillId="0" borderId="0" xfId="58" applyFont="1" applyBorder="1" applyAlignment="1" applyProtection="1">
      <alignment horizontal="left" wrapText="1"/>
      <protection/>
    </xf>
    <xf numFmtId="4" fontId="13" fillId="0" borderId="0" xfId="0" applyNumberFormat="1" applyFont="1" applyAlignment="1">
      <alignment vertical="center"/>
    </xf>
    <xf numFmtId="0" fontId="57" fillId="0" borderId="0" xfId="82" applyFont="1" applyAlignment="1">
      <alignment horizontal="center" shrinkToFit="1"/>
      <protection/>
    </xf>
    <xf numFmtId="0" fontId="5" fillId="0" borderId="0" xfId="80" applyFont="1" applyFill="1" applyAlignment="1">
      <alignment vertical="center" shrinkToFit="1"/>
      <protection/>
    </xf>
    <xf numFmtId="49" fontId="5" fillId="0" borderId="0" xfId="38" applyFont="1" applyBorder="1" applyAlignment="1">
      <alignment horizontal="left" vertical="center" shrinkToFit="1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57" fillId="0" borderId="0" xfId="58" applyFont="1" applyBorder="1" applyAlignment="1" applyProtection="1">
      <alignment horizontal="left" wrapText="1"/>
      <protection/>
    </xf>
    <xf numFmtId="49" fontId="5" fillId="35" borderId="0" xfId="63" applyFont="1" applyFill="1" applyAlignment="1">
      <alignment horizontal="center" vertical="center"/>
    </xf>
    <xf numFmtId="0" fontId="4" fillId="0" borderId="47" xfId="77" applyNumberFormat="1" applyBorder="1">
      <alignment horizontal="left" vertical="center"/>
      <protection/>
    </xf>
    <xf numFmtId="0" fontId="4" fillId="0" borderId="48" xfId="77" applyNumberFormat="1" applyBorder="1">
      <alignment horizontal="left" vertical="center"/>
      <protection/>
    </xf>
    <xf numFmtId="0" fontId="4" fillId="0" borderId="27" xfId="77" applyNumberFormat="1" applyBorder="1">
      <alignment horizontal="left" vertical="center"/>
      <protection/>
    </xf>
    <xf numFmtId="0" fontId="4" fillId="0" borderId="24" xfId="77" applyNumberFormat="1" applyBorder="1">
      <alignment horizontal="left" vertical="center"/>
      <protection/>
    </xf>
    <xf numFmtId="0" fontId="9" fillId="0" borderId="24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8" fillId="0" borderId="47" xfId="77" applyNumberFormat="1" applyFont="1" applyBorder="1">
      <alignment horizontal="left" vertical="center"/>
      <protection/>
    </xf>
    <xf numFmtId="0" fontId="8" fillId="0" borderId="49" xfId="77" applyNumberFormat="1" applyFont="1" applyBorder="1">
      <alignment horizontal="left" vertical="center"/>
      <protection/>
    </xf>
    <xf numFmtId="0" fontId="0" fillId="0" borderId="47" xfId="77" applyNumberFormat="1" applyFont="1" applyBorder="1">
      <alignment horizontal="left" vertical="center"/>
      <protection/>
    </xf>
    <xf numFmtId="0" fontId="0" fillId="0" borderId="27" xfId="77" applyNumberFormat="1" applyFont="1" applyBorder="1">
      <alignment horizontal="left" vertical="center"/>
      <protection/>
    </xf>
    <xf numFmtId="0" fontId="0" fillId="0" borderId="47" xfId="77" applyNumberFormat="1" applyFont="1" applyBorder="1">
      <alignment horizontal="left" vertical="center"/>
      <protection/>
    </xf>
    <xf numFmtId="0" fontId="8" fillId="0" borderId="47" xfId="62" applyBorder="1" applyAlignment="1">
      <alignment horizontal="center" vertical="center"/>
      <protection/>
    </xf>
    <xf numFmtId="0" fontId="8" fillId="0" borderId="27" xfId="62" applyBorder="1" applyAlignment="1">
      <alignment horizontal="center" vertical="center"/>
      <protection/>
    </xf>
    <xf numFmtId="0" fontId="4" fillId="0" borderId="50" xfId="77" applyNumberFormat="1" applyBorder="1">
      <alignment horizontal="left" vertical="center"/>
      <protection/>
    </xf>
    <xf numFmtId="0" fontId="4" fillId="0" borderId="51" xfId="77" applyNumberFormat="1" applyBorder="1">
      <alignment horizontal="left" vertical="center"/>
      <protection/>
    </xf>
    <xf numFmtId="0" fontId="4" fillId="0" borderId="46" xfId="77" applyNumberFormat="1" applyBorder="1">
      <alignment horizontal="left" vertical="center"/>
      <protection/>
    </xf>
    <xf numFmtId="0" fontId="8" fillId="0" borderId="24" xfId="62" applyBorder="1">
      <alignment horizontal="left" vertical="center"/>
      <protection/>
    </xf>
    <xf numFmtId="0" fontId="8" fillId="0" borderId="24" xfId="62" applyFont="1" applyBorder="1">
      <alignment horizontal="left" vertical="center"/>
      <protection/>
    </xf>
    <xf numFmtId="3" fontId="4" fillId="0" borderId="24" xfId="43" applyBorder="1">
      <alignment vertical="center"/>
      <protection/>
    </xf>
    <xf numFmtId="3" fontId="4" fillId="0" borderId="36" xfId="43" applyBorder="1">
      <alignment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52" xfId="77" applyNumberFormat="1" applyFont="1" applyBorder="1" applyAlignment="1">
      <alignment horizontal="center" vertical="center"/>
      <protection/>
    </xf>
    <xf numFmtId="0" fontId="4" fillId="0" borderId="53" xfId="77" applyNumberFormat="1" applyBorder="1" applyAlignment="1">
      <alignment horizontal="center" vertical="center"/>
      <protection/>
    </xf>
    <xf numFmtId="0" fontId="4" fillId="0" borderId="54" xfId="77" applyNumberFormat="1" applyBorder="1" applyAlignment="1">
      <alignment horizontal="center" vertical="center"/>
      <protection/>
    </xf>
    <xf numFmtId="0" fontId="4" fillId="0" borderId="47" xfId="77" applyNumberFormat="1" applyBorder="1" applyAlignment="1">
      <alignment horizontal="center" vertical="center"/>
      <protection/>
    </xf>
    <xf numFmtId="0" fontId="4" fillId="0" borderId="48" xfId="77" applyNumberFormat="1" applyBorder="1" applyAlignment="1">
      <alignment horizontal="center" vertical="center"/>
      <protection/>
    </xf>
    <xf numFmtId="0" fontId="4" fillId="0" borderId="27" xfId="77" applyNumberFormat="1" applyBorder="1" applyAlignment="1">
      <alignment horizontal="center" vertical="center"/>
      <protection/>
    </xf>
    <xf numFmtId="0" fontId="9" fillId="0" borderId="48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4" fillId="0" borderId="55" xfId="77" applyNumberFormat="1" applyBorder="1">
      <alignment horizontal="left" vertical="center"/>
      <protection/>
    </xf>
    <xf numFmtId="0" fontId="4" fillId="0" borderId="0" xfId="77" applyNumberFormat="1" applyBorder="1">
      <alignment horizontal="left" vertical="center"/>
      <protection/>
    </xf>
    <xf numFmtId="0" fontId="4" fillId="0" borderId="12" xfId="77" applyNumberFormat="1" applyBorder="1">
      <alignment horizontal="left" vertical="center"/>
      <protection/>
    </xf>
    <xf numFmtId="0" fontId="8" fillId="0" borderId="5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4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36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1" xfId="0" applyBorder="1" applyAlignment="1">
      <alignment/>
    </xf>
    <xf numFmtId="0" fontId="11" fillId="20" borderId="63" xfId="0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/>
    </xf>
    <xf numFmtId="0" fontId="11" fillId="20" borderId="64" xfId="0" applyFont="1" applyFill="1" applyBorder="1" applyAlignment="1">
      <alignment horizontal="center"/>
    </xf>
    <xf numFmtId="0" fontId="11" fillId="20" borderId="65" xfId="0" applyFont="1" applyFill="1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14" fontId="8" fillId="0" borderId="31" xfId="0" applyNumberFormat="1" applyFont="1" applyBorder="1" applyAlignment="1">
      <alignment/>
    </xf>
    <xf numFmtId="0" fontId="8" fillId="0" borderId="50" xfId="0" applyFont="1" applyBorder="1" applyAlignment="1">
      <alignment/>
    </xf>
    <xf numFmtId="0" fontId="8" fillId="0" borderId="66" xfId="0" applyFont="1" applyBorder="1" applyAlignment="1">
      <alignment/>
    </xf>
    <xf numFmtId="3" fontId="4" fillId="0" borderId="47" xfId="43" applyBorder="1" applyAlignment="1">
      <alignment horizontal="center" vertical="center"/>
      <protection/>
    </xf>
    <xf numFmtId="3" fontId="4" fillId="0" borderId="27" xfId="43" applyBorder="1" applyAlignment="1">
      <alignment horizontal="center" vertical="center"/>
      <protection/>
    </xf>
    <xf numFmtId="0" fontId="5" fillId="0" borderId="64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5" fillId="0" borderId="38" xfId="62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47" xfId="62" applyBorder="1">
      <alignment horizontal="left" vertical="center"/>
      <protection/>
    </xf>
    <xf numFmtId="0" fontId="8" fillId="0" borderId="48" xfId="62" applyBorder="1">
      <alignment horizontal="left" vertical="center"/>
      <protection/>
    </xf>
    <xf numFmtId="0" fontId="8" fillId="0" borderId="27" xfId="62" applyBorder="1">
      <alignment horizontal="left" vertical="center"/>
      <protection/>
    </xf>
    <xf numFmtId="172" fontId="18" fillId="0" borderId="52" xfId="77" applyNumberFormat="1" applyFont="1" applyBorder="1" applyAlignment="1">
      <alignment horizontal="center" vertical="center" wrapText="1" shrinkToFit="1"/>
      <protection/>
    </xf>
    <xf numFmtId="172" fontId="18" fillId="0" borderId="53" xfId="77" applyNumberFormat="1" applyFont="1" applyBorder="1" applyAlignment="1">
      <alignment horizontal="center" vertical="center" wrapText="1" shrinkToFit="1"/>
      <protection/>
    </xf>
    <xf numFmtId="172" fontId="18" fillId="0" borderId="19" xfId="77" applyNumberFormat="1" applyFont="1" applyBorder="1" applyAlignment="1">
      <alignment horizontal="center" vertical="center" wrapText="1" shrinkToFit="1"/>
      <protection/>
    </xf>
    <xf numFmtId="0" fontId="0" fillId="0" borderId="47" xfId="77" applyNumberFormat="1" applyFont="1" applyBorder="1" applyAlignment="1">
      <alignment horizontal="center" vertical="center"/>
      <protection/>
    </xf>
    <xf numFmtId="0" fontId="0" fillId="0" borderId="48" xfId="77" applyNumberFormat="1" applyFont="1" applyBorder="1" applyAlignment="1">
      <alignment horizontal="center" vertical="center"/>
      <protection/>
    </xf>
    <xf numFmtId="0" fontId="0" fillId="0" borderId="49" xfId="77" applyNumberFormat="1" applyFont="1" applyBorder="1" applyAlignment="1">
      <alignment horizontal="center" vertical="center"/>
      <protection/>
    </xf>
    <xf numFmtId="0" fontId="10" fillId="20" borderId="72" xfId="0" applyFont="1" applyFill="1" applyBorder="1" applyAlignment="1" applyProtection="1">
      <alignment horizontal="center" vertical="center"/>
      <protection locked="0"/>
    </xf>
    <xf numFmtId="0" fontId="10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20" borderId="72" xfId="0" applyFont="1" applyFill="1" applyBorder="1" applyAlignment="1">
      <alignment horizontal="center" vertical="center"/>
    </xf>
    <xf numFmtId="0" fontId="11" fillId="20" borderId="73" xfId="0" applyFont="1" applyFill="1" applyBorder="1" applyAlignment="1">
      <alignment horizontal="center" vertical="center"/>
    </xf>
    <xf numFmtId="0" fontId="11" fillId="20" borderId="74" xfId="0" applyFont="1" applyFill="1" applyBorder="1" applyAlignment="1">
      <alignment horizontal="center" vertical="center"/>
    </xf>
    <xf numFmtId="0" fontId="4" fillId="0" borderId="45" xfId="77" applyNumberFormat="1" applyBorder="1">
      <alignment horizontal="left" vertical="center"/>
      <protection/>
    </xf>
    <xf numFmtId="0" fontId="4" fillId="0" borderId="47" xfId="77" applyNumberFormat="1" applyFont="1" applyBorder="1">
      <alignment horizontal="left" vertical="center"/>
      <protection/>
    </xf>
    <xf numFmtId="0" fontId="8" fillId="0" borderId="49" xfId="62" applyBorder="1" applyAlignment="1">
      <alignment horizontal="center" vertical="center"/>
      <protection/>
    </xf>
    <xf numFmtId="0" fontId="18" fillId="0" borderId="7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48" xfId="77" applyNumberFormat="1" applyFont="1" applyBorder="1">
      <alignment horizontal="left" vertical="center"/>
      <protection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8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9" fillId="0" borderId="5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8" fillId="0" borderId="0" xfId="0" applyNumberFormat="1" applyFont="1" applyAlignment="1">
      <alignment vertical="center" wrapText="1"/>
    </xf>
    <xf numFmtId="0" fontId="57" fillId="0" borderId="0" xfId="58" applyFont="1" applyBorder="1" applyAlignment="1" applyProtection="1">
      <alignment horizontal="left" wrapText="1"/>
      <protection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 wrapText="1"/>
      <protection locked="0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7" fillId="0" borderId="0" xfId="82" applyFont="1" applyAlignment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7" fillId="36" borderId="0" xfId="61" applyNumberFormat="1" applyFont="1" applyFill="1" applyBorder="1" applyAlignment="1">
      <alignment horizontal="left" wrapText="1" indent="1"/>
      <protection/>
    </xf>
    <xf numFmtId="0" fontId="58" fillId="0" borderId="0" xfId="0" applyNumberFormat="1" applyFont="1" applyBorder="1" applyAlignment="1">
      <alignment/>
    </xf>
    <xf numFmtId="0" fontId="57" fillId="36" borderId="0" xfId="61" applyNumberFormat="1" applyFont="1" applyFill="1" applyBorder="1" applyAlignment="1">
      <alignment horizontal="left" wrapText="1" indent="1"/>
      <protection/>
    </xf>
    <xf numFmtId="0" fontId="58" fillId="0" borderId="0" xfId="0" applyNumberFormat="1" applyFont="1" applyBorder="1" applyAlignment="1">
      <alignment/>
    </xf>
    <xf numFmtId="0" fontId="57" fillId="36" borderId="0" xfId="61" applyNumberFormat="1" applyFont="1" applyFill="1" applyBorder="1" applyAlignment="1">
      <alignment horizontal="left" vertical="top" wrapText="1"/>
      <protection/>
    </xf>
    <xf numFmtId="0" fontId="58" fillId="0" borderId="0" xfId="0" applyNumberFormat="1" applyFont="1" applyBorder="1" applyAlignment="1">
      <alignment vertical="top"/>
    </xf>
    <xf numFmtId="0" fontId="57" fillId="36" borderId="0" xfId="61" applyNumberFormat="1" applyFont="1" applyFill="1" applyBorder="1" applyAlignment="1">
      <alignment horizontal="left" vertical="center" wrapText="1"/>
      <protection/>
    </xf>
    <xf numFmtId="0" fontId="58" fillId="0" borderId="0" xfId="0" applyNumberFormat="1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Čárka 2" xfId="41"/>
    <cellStyle name="Comma [0]" xfId="42"/>
    <cellStyle name="Čísla v krycím listu" xfId="43"/>
    <cellStyle name="HmotnJednPolozky" xfId="44"/>
    <cellStyle name="HmotnPolozkyCelk" xfId="45"/>
    <cellStyle name="Chybně" xfId="46"/>
    <cellStyle name="Kontrolní buňka" xfId="47"/>
    <cellStyle name="Currency" xfId="48"/>
    <cellStyle name="Currency [0]" xfId="49"/>
    <cellStyle name="MJPolozky" xfId="50"/>
    <cellStyle name="MnozstviPolozky" xfId="51"/>
    <cellStyle name="Nadpis 1" xfId="52"/>
    <cellStyle name="Nadpis 2" xfId="53"/>
    <cellStyle name="Nadpis 3" xfId="54"/>
    <cellStyle name="Nadpis 4" xfId="55"/>
    <cellStyle name="Název" xfId="56"/>
    <cellStyle name="NazevOddilu" xfId="57"/>
    <cellStyle name="NazevPolozky" xfId="58"/>
    <cellStyle name="NazevSouctuOddilu" xfId="59"/>
    <cellStyle name="Neutrální" xfId="60"/>
    <cellStyle name="normální_POL.XLS" xfId="61"/>
    <cellStyle name="Pevné texty v krycím listu" xfId="62"/>
    <cellStyle name="PoradCisloPolozky" xfId="63"/>
    <cellStyle name="PorizovaniSkutecnosti" xfId="64"/>
    <cellStyle name="Poznámka" xfId="65"/>
    <cellStyle name="Percent" xfId="66"/>
    <cellStyle name="ProcentoPrirazPol" xfId="67"/>
    <cellStyle name="Propojená buňka" xfId="68"/>
    <cellStyle name="RekapCisloOdd" xfId="69"/>
    <cellStyle name="RekapNazOdd" xfId="70"/>
    <cellStyle name="RekapOddiluSoucet" xfId="71"/>
    <cellStyle name="RekapTonaz" xfId="72"/>
    <cellStyle name="SoucetHmotOddilu" xfId="73"/>
    <cellStyle name="SoucetMontaziOddilu" xfId="74"/>
    <cellStyle name="Správně" xfId="75"/>
    <cellStyle name="Text upozornění" xfId="76"/>
    <cellStyle name="Text v krycím listu" xfId="77"/>
    <cellStyle name="TonazSute" xfId="78"/>
    <cellStyle name="Vstup" xfId="79"/>
    <cellStyle name="VykazPolozka" xfId="80"/>
    <cellStyle name="VykazPorCisPolozky" xfId="81"/>
    <cellStyle name="VykazVzorec" xfId="82"/>
    <cellStyle name="VypocetSkutecnosti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43"/>
  <sheetViews>
    <sheetView showGridLines="0" tabSelected="1" zoomScalePageLayoutView="0" workbookViewId="0" topLeftCell="A1">
      <selection activeCell="A1" sqref="A1:K4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2.875" style="0" customWidth="1"/>
    <col min="8" max="8" width="3.00390625" style="0" customWidth="1"/>
    <col min="9" max="9" width="9.75390625" style="0" customWidth="1"/>
    <col min="10" max="10" width="4.125" style="0" customWidth="1"/>
    <col min="11" max="11" width="11.875" style="0" customWidth="1"/>
    <col min="13" max="13" width="18.125" style="0" customWidth="1"/>
  </cols>
  <sheetData>
    <row r="1" spans="1:11" ht="15.75" customHeight="1">
      <c r="A1" s="268" t="s">
        <v>606</v>
      </c>
      <c r="B1" s="269"/>
      <c r="C1" s="270"/>
      <c r="D1" s="270"/>
      <c r="E1" s="270"/>
      <c r="F1" s="270"/>
      <c r="G1" s="270"/>
      <c r="H1" s="270"/>
      <c r="I1" s="270"/>
      <c r="J1" s="270"/>
      <c r="K1" s="271"/>
    </row>
    <row r="2" spans="1:11" ht="15.75" customHeight="1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4"/>
    </row>
    <row r="3" spans="1:11" ht="15.75" customHeigh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15.75" customHeight="1" thickBo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53.25" customHeight="1">
      <c r="A5" s="46" t="s">
        <v>25</v>
      </c>
      <c r="B5" s="47"/>
      <c r="C5" s="262" t="s">
        <v>492</v>
      </c>
      <c r="D5" s="263"/>
      <c r="E5" s="263"/>
      <c r="F5" s="263"/>
      <c r="G5" s="263"/>
      <c r="H5" s="263"/>
      <c r="I5" s="263"/>
      <c r="J5" s="263"/>
      <c r="K5" s="264"/>
    </row>
    <row r="6" spans="1:11" ht="15.75" customHeight="1">
      <c r="A6" s="42" t="s">
        <v>26</v>
      </c>
      <c r="B6" s="43"/>
      <c r="C6" s="265"/>
      <c r="D6" s="266"/>
      <c r="E6" s="266"/>
      <c r="F6" s="266"/>
      <c r="G6" s="266"/>
      <c r="H6" s="266"/>
      <c r="I6" s="266"/>
      <c r="J6" s="266"/>
      <c r="K6" s="267"/>
    </row>
    <row r="7" spans="1:11" ht="15.75" customHeight="1">
      <c r="A7" s="284"/>
      <c r="B7" s="285"/>
      <c r="C7" s="285"/>
      <c r="D7" s="285"/>
      <c r="E7" s="285"/>
      <c r="F7" s="285"/>
      <c r="G7" s="286"/>
      <c r="H7" s="186" t="s">
        <v>40</v>
      </c>
      <c r="I7" s="187"/>
      <c r="J7" s="186" t="s">
        <v>41</v>
      </c>
      <c r="K7" s="283"/>
    </row>
    <row r="8" spans="1:11" ht="15.75" customHeight="1">
      <c r="A8" s="42" t="s">
        <v>27</v>
      </c>
      <c r="B8" s="43"/>
      <c r="C8" s="185" t="s">
        <v>493</v>
      </c>
      <c r="D8" s="287"/>
      <c r="E8" s="287"/>
      <c r="F8" s="287"/>
      <c r="G8" s="184"/>
      <c r="H8" s="185" t="s">
        <v>298</v>
      </c>
      <c r="I8" s="184"/>
      <c r="J8" s="181"/>
      <c r="K8" s="182"/>
    </row>
    <row r="9" spans="1:11" ht="15.75" customHeight="1">
      <c r="A9" s="42" t="s">
        <v>28</v>
      </c>
      <c r="B9" s="43"/>
      <c r="C9" s="185" t="s">
        <v>79</v>
      </c>
      <c r="D9" s="287"/>
      <c r="E9" s="287"/>
      <c r="F9" s="287"/>
      <c r="G9" s="184"/>
      <c r="H9" s="185" t="s">
        <v>299</v>
      </c>
      <c r="I9" s="184"/>
      <c r="J9" s="181" t="s">
        <v>78</v>
      </c>
      <c r="K9" s="182"/>
    </row>
    <row r="10" spans="1:11" ht="15.75" customHeight="1">
      <c r="A10" s="42" t="s">
        <v>29</v>
      </c>
      <c r="B10" s="43"/>
      <c r="C10" s="175"/>
      <c r="D10" s="176"/>
      <c r="E10" s="176"/>
      <c r="F10" s="176"/>
      <c r="G10" s="177"/>
      <c r="H10" s="183"/>
      <c r="I10" s="184"/>
      <c r="J10" s="181"/>
      <c r="K10" s="182"/>
    </row>
    <row r="11" spans="1:11" ht="15.75" customHeight="1">
      <c r="A11" s="42" t="s">
        <v>30</v>
      </c>
      <c r="B11" s="43"/>
      <c r="C11" s="175"/>
      <c r="D11" s="176"/>
      <c r="E11" s="176"/>
      <c r="F11" s="176"/>
      <c r="G11" s="177"/>
      <c r="H11" s="183"/>
      <c r="I11" s="184"/>
      <c r="J11" s="181"/>
      <c r="K11" s="182"/>
    </row>
    <row r="12" spans="1:11" ht="15.75" customHeight="1">
      <c r="A12" s="42" t="s">
        <v>31</v>
      </c>
      <c r="B12" s="43"/>
      <c r="C12" s="175"/>
      <c r="D12" s="176"/>
      <c r="E12" s="176"/>
      <c r="F12" s="176"/>
      <c r="G12" s="177"/>
      <c r="H12" s="183"/>
      <c r="I12" s="184"/>
      <c r="J12" s="181"/>
      <c r="K12" s="182"/>
    </row>
    <row r="13" spans="1:11" ht="15.75" customHeight="1">
      <c r="A13" s="42" t="s">
        <v>32</v>
      </c>
      <c r="B13" s="43"/>
      <c r="C13" s="175"/>
      <c r="D13" s="176"/>
      <c r="E13" s="176"/>
      <c r="F13" s="176"/>
      <c r="G13" s="177"/>
      <c r="H13" s="183"/>
      <c r="I13" s="184"/>
      <c r="J13" s="181"/>
      <c r="K13" s="182"/>
    </row>
    <row r="14" spans="1:11" ht="15.75" customHeight="1">
      <c r="A14" s="42" t="s">
        <v>33</v>
      </c>
      <c r="B14" s="43"/>
      <c r="C14" s="282"/>
      <c r="D14" s="176"/>
      <c r="E14" s="176"/>
      <c r="F14" s="176"/>
      <c r="G14" s="177"/>
      <c r="H14" s="183"/>
      <c r="I14" s="184"/>
      <c r="J14" s="181"/>
      <c r="K14" s="182"/>
    </row>
    <row r="15" spans="1:11" ht="15.75" customHeight="1">
      <c r="A15" s="42" t="s">
        <v>34</v>
      </c>
      <c r="B15" s="43"/>
      <c r="C15" s="206"/>
      <c r="D15" s="208"/>
      <c r="E15" s="30" t="s">
        <v>39</v>
      </c>
      <c r="F15" s="248"/>
      <c r="G15" s="249"/>
      <c r="H15" s="191" t="s">
        <v>69</v>
      </c>
      <c r="I15" s="191"/>
      <c r="J15" s="193"/>
      <c r="K15" s="194"/>
    </row>
    <row r="16" spans="1:11" ht="15.75" customHeight="1">
      <c r="A16" s="42" t="s">
        <v>35</v>
      </c>
      <c r="B16" s="43"/>
      <c r="C16" s="206" t="s">
        <v>604</v>
      </c>
      <c r="D16" s="208"/>
      <c r="E16" s="30" t="s">
        <v>38</v>
      </c>
      <c r="F16" s="178"/>
      <c r="G16" s="178"/>
      <c r="H16" s="192" t="s">
        <v>68</v>
      </c>
      <c r="I16" s="192"/>
      <c r="J16" s="195" t="s">
        <v>372</v>
      </c>
      <c r="K16" s="196"/>
    </row>
    <row r="17" spans="1:11" ht="15.75" customHeight="1" thickBot="1">
      <c r="A17" s="44" t="s">
        <v>36</v>
      </c>
      <c r="B17" s="45"/>
      <c r="C17" s="188"/>
      <c r="D17" s="281"/>
      <c r="E17" s="31" t="s">
        <v>37</v>
      </c>
      <c r="F17" s="188"/>
      <c r="G17" s="281"/>
      <c r="H17" s="188"/>
      <c r="I17" s="189"/>
      <c r="J17" s="189"/>
      <c r="K17" s="190"/>
    </row>
    <row r="18" spans="1:11" ht="21" customHeight="1" thickBot="1">
      <c r="A18" s="278" t="s">
        <v>42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80"/>
    </row>
    <row r="19" spans="1:11" ht="21.75" customHeight="1" thickBot="1">
      <c r="A19" s="254" t="s">
        <v>43</v>
      </c>
      <c r="B19" s="255"/>
      <c r="C19" s="255"/>
      <c r="D19" s="255"/>
      <c r="E19" s="256"/>
      <c r="F19" s="21"/>
      <c r="G19" s="257" t="s">
        <v>44</v>
      </c>
      <c r="H19" s="255"/>
      <c r="I19" s="255"/>
      <c r="J19" s="255"/>
      <c r="K19" s="258"/>
    </row>
    <row r="20" spans="1:11" ht="15.75" customHeight="1">
      <c r="A20" s="19">
        <v>1</v>
      </c>
      <c r="B20" s="250" t="s">
        <v>45</v>
      </c>
      <c r="C20" s="251"/>
      <c r="D20" s="48" t="s">
        <v>23</v>
      </c>
      <c r="E20" s="32"/>
      <c r="F20" s="20">
        <v>13</v>
      </c>
      <c r="G20" s="203" t="s">
        <v>142</v>
      </c>
      <c r="H20" s="204"/>
      <c r="I20" s="204"/>
      <c r="J20" s="205"/>
      <c r="K20" s="36">
        <f>Rozpočet!I347</f>
        <v>0</v>
      </c>
    </row>
    <row r="21" spans="1:11" ht="15.75" customHeight="1">
      <c r="A21" s="16">
        <v>2</v>
      </c>
      <c r="B21" s="252"/>
      <c r="C21" s="253"/>
      <c r="D21" s="30" t="s">
        <v>24</v>
      </c>
      <c r="E21" s="33">
        <f>'Rekapitulace rozpočtu'!C34</f>
        <v>0</v>
      </c>
      <c r="F21" s="17">
        <v>14</v>
      </c>
      <c r="G21" s="206" t="s">
        <v>120</v>
      </c>
      <c r="H21" s="207"/>
      <c r="I21" s="207"/>
      <c r="J21" s="208"/>
      <c r="K21" s="37">
        <f>Rozpočet!I331</f>
        <v>0</v>
      </c>
    </row>
    <row r="22" spans="1:11" ht="15.75" customHeight="1">
      <c r="A22" s="16">
        <v>3</v>
      </c>
      <c r="B22" s="291" t="s">
        <v>46</v>
      </c>
      <c r="C22" s="292"/>
      <c r="D22" s="30" t="s">
        <v>47</v>
      </c>
      <c r="E22" s="33">
        <f>'Rekapitulace rozpočtu'!C33</f>
        <v>0</v>
      </c>
      <c r="F22" s="17">
        <v>15</v>
      </c>
      <c r="G22" s="175"/>
      <c r="H22" s="176"/>
      <c r="I22" s="176"/>
      <c r="J22" s="177"/>
      <c r="K22" s="37"/>
    </row>
    <row r="23" spans="1:11" ht="15.75" customHeight="1" thickBot="1">
      <c r="A23" s="16">
        <v>4</v>
      </c>
      <c r="B23" s="252"/>
      <c r="C23" s="253"/>
      <c r="D23" s="30" t="s">
        <v>48</v>
      </c>
      <c r="E23" s="34">
        <f>'Rekapitulace rozpočtu'!C32</f>
        <v>0</v>
      </c>
      <c r="F23" s="18">
        <v>16</v>
      </c>
      <c r="G23" s="175"/>
      <c r="H23" s="176"/>
      <c r="I23" s="176"/>
      <c r="J23" s="177"/>
      <c r="K23" s="37"/>
    </row>
    <row r="24" spans="1:11" ht="15.75" customHeight="1" thickBot="1">
      <c r="A24" s="16">
        <v>5</v>
      </c>
      <c r="B24" s="180" t="s">
        <v>54</v>
      </c>
      <c r="C24" s="209"/>
      <c r="D24" s="210"/>
      <c r="E24" s="35">
        <f>SUM(E20:E23)</f>
        <v>0</v>
      </c>
      <c r="F24" s="22">
        <v>17</v>
      </c>
      <c r="G24" s="175"/>
      <c r="H24" s="176"/>
      <c r="I24" s="176"/>
      <c r="J24" s="177"/>
      <c r="K24" s="37"/>
    </row>
    <row r="25" spans="1:11" ht="15.75" customHeight="1">
      <c r="A25" s="16">
        <v>6</v>
      </c>
      <c r="B25" s="259" t="s">
        <v>55</v>
      </c>
      <c r="C25" s="260"/>
      <c r="D25" s="261"/>
      <c r="E25" s="32"/>
      <c r="F25" s="18">
        <v>18</v>
      </c>
      <c r="G25" s="175"/>
      <c r="H25" s="176"/>
      <c r="I25" s="176"/>
      <c r="J25" s="177"/>
      <c r="K25" s="37"/>
    </row>
    <row r="26" spans="1:11" ht="15.75" customHeight="1" thickBot="1">
      <c r="A26" s="16">
        <v>7</v>
      </c>
      <c r="B26" s="259" t="s">
        <v>56</v>
      </c>
      <c r="C26" s="260"/>
      <c r="D26" s="261"/>
      <c r="E26" s="34"/>
      <c r="F26" s="18">
        <v>19</v>
      </c>
      <c r="G26" s="175"/>
      <c r="H26" s="176"/>
      <c r="I26" s="176"/>
      <c r="J26" s="177"/>
      <c r="K26" s="37"/>
    </row>
    <row r="27" spans="1:11" ht="15.75" customHeight="1" thickBot="1">
      <c r="A27" s="16">
        <v>8</v>
      </c>
      <c r="B27" s="180" t="s">
        <v>57</v>
      </c>
      <c r="C27" s="209"/>
      <c r="D27" s="210"/>
      <c r="E27" s="35">
        <f>SUM(E24:E26)</f>
        <v>0</v>
      </c>
      <c r="F27" s="22">
        <v>20</v>
      </c>
      <c r="G27" s="175"/>
      <c r="H27" s="176"/>
      <c r="I27" s="176"/>
      <c r="J27" s="177"/>
      <c r="K27" s="37"/>
    </row>
    <row r="28" spans="1:11" ht="15.75" customHeight="1">
      <c r="A28" s="16">
        <v>9</v>
      </c>
      <c r="B28" s="259" t="s">
        <v>58</v>
      </c>
      <c r="C28" s="260"/>
      <c r="D28" s="261"/>
      <c r="E28" s="32"/>
      <c r="F28" s="18">
        <v>21</v>
      </c>
      <c r="G28" s="175"/>
      <c r="H28" s="176"/>
      <c r="I28" s="176"/>
      <c r="J28" s="177"/>
      <c r="K28" s="37"/>
    </row>
    <row r="29" spans="1:11" ht="15.75" customHeight="1">
      <c r="A29" s="16">
        <v>10</v>
      </c>
      <c r="B29" s="259" t="s">
        <v>59</v>
      </c>
      <c r="C29" s="260"/>
      <c r="D29" s="261"/>
      <c r="E29" s="33"/>
      <c r="F29" s="18">
        <v>22</v>
      </c>
      <c r="G29" s="175"/>
      <c r="H29" s="176"/>
      <c r="I29" s="176"/>
      <c r="J29" s="177"/>
      <c r="K29" s="37"/>
    </row>
    <row r="30" spans="1:11" ht="15.75" customHeight="1" thickBot="1">
      <c r="A30" s="16">
        <v>11</v>
      </c>
      <c r="B30" s="259" t="s">
        <v>60</v>
      </c>
      <c r="C30" s="260"/>
      <c r="D30" s="261"/>
      <c r="E30" s="34">
        <v>0</v>
      </c>
      <c r="F30" s="18">
        <v>23</v>
      </c>
      <c r="G30" s="175"/>
      <c r="H30" s="176"/>
      <c r="I30" s="176"/>
      <c r="J30" s="177"/>
      <c r="K30" s="37"/>
    </row>
    <row r="31" spans="1:11" ht="15.75" customHeight="1" thickBot="1">
      <c r="A31" s="25">
        <v>12</v>
      </c>
      <c r="B31" s="180" t="s">
        <v>61</v>
      </c>
      <c r="C31" s="209"/>
      <c r="D31" s="210"/>
      <c r="E31" s="41">
        <f>SUM(E27:E30)</f>
        <v>0</v>
      </c>
      <c r="F31" s="26">
        <v>24</v>
      </c>
      <c r="G31" s="178"/>
      <c r="H31" s="178"/>
      <c r="I31" s="178"/>
      <c r="J31" s="178"/>
      <c r="K31" s="38"/>
    </row>
    <row r="32" spans="1:11" ht="15.75" customHeight="1" thickBot="1">
      <c r="A32" s="27"/>
      <c r="B32" s="288"/>
      <c r="C32" s="289"/>
      <c r="D32" s="290"/>
      <c r="E32" s="29"/>
      <c r="F32" s="28">
        <v>25</v>
      </c>
      <c r="G32" s="293" t="s">
        <v>62</v>
      </c>
      <c r="H32" s="294"/>
      <c r="I32" s="294"/>
      <c r="J32" s="51"/>
      <c r="K32" s="39">
        <f>SUM(K20:K31)</f>
        <v>0</v>
      </c>
    </row>
    <row r="33" spans="1:11" ht="15.75" customHeight="1" thickBot="1">
      <c r="A33" s="234"/>
      <c r="B33" s="235"/>
      <c r="C33" s="235"/>
      <c r="D33" s="235"/>
      <c r="E33" s="235"/>
      <c r="F33" s="239" t="s">
        <v>49</v>
      </c>
      <c r="G33" s="240"/>
      <c r="H33" s="240"/>
      <c r="I33" s="240"/>
      <c r="J33" s="241"/>
      <c r="K33" s="242"/>
    </row>
    <row r="34" spans="1:13" ht="15.75" customHeight="1" thickBot="1">
      <c r="A34" s="234"/>
      <c r="B34" s="235"/>
      <c r="C34" s="235"/>
      <c r="D34" s="235"/>
      <c r="E34" s="235"/>
      <c r="F34" s="23">
        <v>26</v>
      </c>
      <c r="G34" s="179" t="s">
        <v>63</v>
      </c>
      <c r="H34" s="179"/>
      <c r="I34" s="179"/>
      <c r="J34" s="180"/>
      <c r="K34" s="41">
        <f>E31+K32</f>
        <v>0</v>
      </c>
      <c r="M34" s="109"/>
    </row>
    <row r="35" spans="1:11" ht="15.75" customHeight="1">
      <c r="A35" s="234"/>
      <c r="B35" s="235"/>
      <c r="C35" s="235"/>
      <c r="D35" s="235"/>
      <c r="E35" s="235"/>
      <c r="F35" s="23">
        <v>27</v>
      </c>
      <c r="G35" s="191"/>
      <c r="H35" s="191"/>
      <c r="I35" s="191"/>
      <c r="J35" s="191"/>
      <c r="K35" s="52"/>
    </row>
    <row r="36" spans="1:11" ht="15.75" customHeight="1" thickBot="1">
      <c r="A36" s="234"/>
      <c r="B36" s="235"/>
      <c r="C36" s="235"/>
      <c r="D36" s="235"/>
      <c r="E36" s="235"/>
      <c r="F36" s="23">
        <v>28</v>
      </c>
      <c r="G36" s="192" t="s">
        <v>170</v>
      </c>
      <c r="H36" s="191"/>
      <c r="I36" s="191"/>
      <c r="J36" s="191"/>
      <c r="K36" s="53">
        <f>K34*0.15</f>
        <v>0</v>
      </c>
    </row>
    <row r="37" spans="1:13" ht="15.75" customHeight="1" thickBot="1">
      <c r="A37" s="234"/>
      <c r="B37" s="235"/>
      <c r="C37" s="235"/>
      <c r="D37" s="235"/>
      <c r="E37" s="235"/>
      <c r="F37" s="24">
        <v>29</v>
      </c>
      <c r="G37" s="243" t="s">
        <v>64</v>
      </c>
      <c r="H37" s="243"/>
      <c r="I37" s="243"/>
      <c r="J37" s="244"/>
      <c r="K37" s="41">
        <f>SUM(K34:K36)</f>
        <v>0</v>
      </c>
      <c r="M37" s="56"/>
    </row>
    <row r="38" spans="1:11" ht="6.75" customHeight="1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8"/>
    </row>
    <row r="39" spans="1:11" ht="15.75" customHeight="1">
      <c r="A39" s="49" t="s">
        <v>50</v>
      </c>
      <c r="B39" s="50"/>
      <c r="C39" s="40"/>
      <c r="D39" s="229"/>
      <c r="E39" s="230"/>
      <c r="F39" s="200" t="s">
        <v>65</v>
      </c>
      <c r="G39" s="201"/>
      <c r="H39" s="202"/>
      <c r="I39" s="223"/>
      <c r="J39" s="224"/>
      <c r="K39" s="225"/>
    </row>
    <row r="40" spans="1:11" ht="15.75" customHeight="1">
      <c r="A40" s="211"/>
      <c r="B40" s="212"/>
      <c r="C40" s="213"/>
      <c r="D40" s="231"/>
      <c r="E40" s="232"/>
      <c r="F40" s="200" t="s">
        <v>66</v>
      </c>
      <c r="G40" s="201"/>
      <c r="H40" s="202"/>
      <c r="I40" s="223"/>
      <c r="J40" s="224"/>
      <c r="K40" s="225"/>
    </row>
    <row r="41" spans="1:11" ht="15.75" customHeight="1">
      <c r="A41" s="214"/>
      <c r="B41" s="215"/>
      <c r="C41" s="216"/>
      <c r="D41" s="231"/>
      <c r="E41" s="232"/>
      <c r="F41" s="200" t="s">
        <v>67</v>
      </c>
      <c r="G41" s="201"/>
      <c r="H41" s="202"/>
      <c r="I41" s="197"/>
      <c r="J41" s="198"/>
      <c r="K41" s="199"/>
    </row>
    <row r="42" spans="1:11" ht="15.75" customHeight="1">
      <c r="A42" s="217"/>
      <c r="B42" s="218"/>
      <c r="C42" s="219"/>
      <c r="D42" s="231"/>
      <c r="E42" s="232"/>
      <c r="F42" s="200"/>
      <c r="G42" s="201"/>
      <c r="H42" s="202"/>
      <c r="I42" s="223"/>
      <c r="J42" s="224"/>
      <c r="K42" s="225"/>
    </row>
    <row r="43" spans="1:11" ht="15.75" customHeight="1" thickBot="1">
      <c r="A43" s="226" t="s">
        <v>51</v>
      </c>
      <c r="B43" s="227"/>
      <c r="C43" s="228"/>
      <c r="D43" s="233" t="s">
        <v>52</v>
      </c>
      <c r="E43" s="228"/>
      <c r="F43" s="220" t="s">
        <v>53</v>
      </c>
      <c r="G43" s="221"/>
      <c r="H43" s="222"/>
      <c r="I43" s="245">
        <v>42601</v>
      </c>
      <c r="J43" s="246"/>
      <c r="K43" s="247"/>
    </row>
  </sheetData>
  <sheetProtection/>
  <mergeCells count="87">
    <mergeCell ref="B29:D29"/>
    <mergeCell ref="B30:D30"/>
    <mergeCell ref="B32:D32"/>
    <mergeCell ref="C11:G11"/>
    <mergeCell ref="C12:G12"/>
    <mergeCell ref="C13:G13"/>
    <mergeCell ref="B22:C23"/>
    <mergeCell ref="G32:I32"/>
    <mergeCell ref="B27:D27"/>
    <mergeCell ref="B26:D26"/>
    <mergeCell ref="J11:K11"/>
    <mergeCell ref="J7:K7"/>
    <mergeCell ref="J8:K8"/>
    <mergeCell ref="H11:I11"/>
    <mergeCell ref="H12:I12"/>
    <mergeCell ref="A7:G7"/>
    <mergeCell ref="C8:G8"/>
    <mergeCell ref="C9:G9"/>
    <mergeCell ref="C10:G10"/>
    <mergeCell ref="J9:K9"/>
    <mergeCell ref="B25:D25"/>
    <mergeCell ref="B28:D28"/>
    <mergeCell ref="C5:K5"/>
    <mergeCell ref="C6:K6"/>
    <mergeCell ref="A1:K4"/>
    <mergeCell ref="A18:K18"/>
    <mergeCell ref="F17:G17"/>
    <mergeCell ref="C14:G14"/>
    <mergeCell ref="C16:D16"/>
    <mergeCell ref="C17:D17"/>
    <mergeCell ref="I43:K43"/>
    <mergeCell ref="I42:K42"/>
    <mergeCell ref="H8:I8"/>
    <mergeCell ref="C15:D15"/>
    <mergeCell ref="B31:D31"/>
    <mergeCell ref="F15:G15"/>
    <mergeCell ref="F16:G16"/>
    <mergeCell ref="B20:C21"/>
    <mergeCell ref="A19:E19"/>
    <mergeCell ref="G19:K19"/>
    <mergeCell ref="A33:E37"/>
    <mergeCell ref="A38:K38"/>
    <mergeCell ref="I39:K39"/>
    <mergeCell ref="G35:J35"/>
    <mergeCell ref="G36:J36"/>
    <mergeCell ref="F33:K33"/>
    <mergeCell ref="G37:J37"/>
    <mergeCell ref="F39:H39"/>
    <mergeCell ref="B24:D24"/>
    <mergeCell ref="A40:C40"/>
    <mergeCell ref="A41:C42"/>
    <mergeCell ref="F43:H43"/>
    <mergeCell ref="F41:H41"/>
    <mergeCell ref="I40:K40"/>
    <mergeCell ref="F42:H42"/>
    <mergeCell ref="A43:C43"/>
    <mergeCell ref="D39:E42"/>
    <mergeCell ref="D43:E43"/>
    <mergeCell ref="I41:K41"/>
    <mergeCell ref="F40:H40"/>
    <mergeCell ref="G20:J20"/>
    <mergeCell ref="G21:J21"/>
    <mergeCell ref="G22:J22"/>
    <mergeCell ref="G23:J23"/>
    <mergeCell ref="G27:J27"/>
    <mergeCell ref="G28:J28"/>
    <mergeCell ref="G29:J29"/>
    <mergeCell ref="G24:J24"/>
    <mergeCell ref="J10:K10"/>
    <mergeCell ref="H9:I9"/>
    <mergeCell ref="H10:I10"/>
    <mergeCell ref="H7:I7"/>
    <mergeCell ref="G26:J26"/>
    <mergeCell ref="H17:K17"/>
    <mergeCell ref="H15:I15"/>
    <mergeCell ref="H16:I16"/>
    <mergeCell ref="J15:K15"/>
    <mergeCell ref="J16:K16"/>
    <mergeCell ref="G30:J30"/>
    <mergeCell ref="G31:J31"/>
    <mergeCell ref="G34:J34"/>
    <mergeCell ref="J12:K12"/>
    <mergeCell ref="J13:K13"/>
    <mergeCell ref="J14:K14"/>
    <mergeCell ref="H13:I13"/>
    <mergeCell ref="H14:I14"/>
    <mergeCell ref="G25:J25"/>
  </mergeCells>
  <printOptions/>
  <pageMargins left="0.78" right="0.49" top="0.84" bottom="0.79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E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8.00390625" style="0" customWidth="1"/>
    <col min="2" max="2" width="42.00390625" style="0" customWidth="1"/>
    <col min="3" max="3" width="18.00390625" style="0" customWidth="1"/>
    <col min="4" max="4" width="12.375" style="0" hidden="1" customWidth="1"/>
    <col min="5" max="5" width="18.00390625" style="0" customWidth="1"/>
  </cols>
  <sheetData>
    <row r="1" spans="2:4" ht="15.75">
      <c r="B1" s="54" t="s">
        <v>605</v>
      </c>
      <c r="D1" s="7"/>
    </row>
    <row r="2" spans="1:4" ht="12.75">
      <c r="A2" s="2"/>
      <c r="B2" s="2"/>
      <c r="C2" s="2"/>
      <c r="D2" s="7"/>
    </row>
    <row r="3" spans="1:4" ht="12.75">
      <c r="A3" s="2" t="s">
        <v>16</v>
      </c>
      <c r="D3" s="7"/>
    </row>
    <row r="4" spans="1:4" ht="55.5" customHeight="1">
      <c r="A4" s="2"/>
      <c r="B4" s="295" t="s">
        <v>492</v>
      </c>
      <c r="C4" s="295"/>
      <c r="D4" s="7"/>
    </row>
    <row r="5" spans="1:4" ht="7.5" customHeight="1">
      <c r="A5" s="2"/>
      <c r="B5" s="130"/>
      <c r="C5" s="130"/>
      <c r="D5" s="7"/>
    </row>
    <row r="6" spans="1:4" ht="13.5" thickBot="1">
      <c r="A6" s="2"/>
      <c r="B6" s="2"/>
      <c r="C6" s="2"/>
      <c r="D6" s="7"/>
    </row>
    <row r="7" spans="1:4" ht="12.75">
      <c r="A7" s="8" t="s">
        <v>19</v>
      </c>
      <c r="B7" s="9" t="s">
        <v>20</v>
      </c>
      <c r="C7" s="10" t="s">
        <v>18</v>
      </c>
      <c r="D7" s="11" t="s">
        <v>13</v>
      </c>
    </row>
    <row r="8" spans="1:4" ht="13.5" thickBot="1">
      <c r="A8" s="12"/>
      <c r="B8" s="13"/>
      <c r="C8" s="14" t="s">
        <v>21</v>
      </c>
      <c r="D8" s="14"/>
    </row>
    <row r="9" spans="1:4" ht="12.75">
      <c r="A9" s="3"/>
      <c r="B9" s="4"/>
      <c r="C9" s="1"/>
      <c r="D9" s="5"/>
    </row>
    <row r="10" spans="1:5" s="57" customFormat="1" ht="19.5" customHeight="1">
      <c r="A10" s="58" t="str">
        <f>Rozpočet!B4</f>
        <v>1</v>
      </c>
      <c r="B10" s="59" t="str">
        <f>Rozpočet!C4</f>
        <v>Zemni prace</v>
      </c>
      <c r="C10" s="60">
        <f>Rozpočet!I27</f>
        <v>0</v>
      </c>
      <c r="D10" s="61">
        <f>Rozpočet!G27</f>
        <v>38.86272</v>
      </c>
      <c r="E10" s="168"/>
    </row>
    <row r="11" spans="1:5" s="57" customFormat="1" ht="19.5" customHeight="1">
      <c r="A11" s="113" t="s">
        <v>163</v>
      </c>
      <c r="B11" s="110" t="s">
        <v>164</v>
      </c>
      <c r="C11" s="60">
        <f>Rozpočet!I34</f>
        <v>0</v>
      </c>
      <c r="D11" s="61">
        <f>Rozpočet!G34</f>
        <v>17.6476608</v>
      </c>
      <c r="E11" s="168"/>
    </row>
    <row r="12" spans="1:5" s="57" customFormat="1" ht="19.5" customHeight="1">
      <c r="A12" s="58" t="str">
        <f>Rozpočet!B36</f>
        <v>62</v>
      </c>
      <c r="B12" s="59" t="str">
        <f>Rozpočet!C36</f>
        <v>Uprava povrchu vnejsi</v>
      </c>
      <c r="C12" s="60">
        <f>Rozpočet!I41</f>
        <v>0</v>
      </c>
      <c r="D12" s="61">
        <f>Rozpočet!G41</f>
        <v>0.272593125</v>
      </c>
      <c r="E12" s="168"/>
    </row>
    <row r="13" spans="1:5" s="57" customFormat="1" ht="19.5" customHeight="1">
      <c r="A13" s="58">
        <v>63</v>
      </c>
      <c r="B13" s="59" t="s">
        <v>162</v>
      </c>
      <c r="C13" s="60">
        <f>Rozpočet!I55</f>
        <v>0</v>
      </c>
      <c r="D13" s="61">
        <f>Rozpočet!G55</f>
        <v>114.93780960000002</v>
      </c>
      <c r="E13" s="168"/>
    </row>
    <row r="14" spans="1:5" s="57" customFormat="1" ht="19.5" customHeight="1">
      <c r="A14" s="113" t="s">
        <v>194</v>
      </c>
      <c r="B14" s="110" t="s">
        <v>214</v>
      </c>
      <c r="C14" s="60">
        <f>Rozpočet!I94</f>
        <v>0</v>
      </c>
      <c r="D14" s="61"/>
      <c r="E14" s="168"/>
    </row>
    <row r="15" spans="1:5" s="57" customFormat="1" ht="19.5" customHeight="1">
      <c r="A15" s="113" t="s">
        <v>187</v>
      </c>
      <c r="B15" s="110" t="s">
        <v>189</v>
      </c>
      <c r="C15" s="60">
        <f>Rozpočet!I111</f>
        <v>0</v>
      </c>
      <c r="D15" s="61">
        <v>0</v>
      </c>
      <c r="E15" s="168"/>
    </row>
    <row r="16" spans="1:5" s="57" customFormat="1" ht="19.5" customHeight="1">
      <c r="A16" s="113" t="s">
        <v>232</v>
      </c>
      <c r="B16" s="110" t="s">
        <v>220</v>
      </c>
      <c r="C16" s="60">
        <f>Rozpočet!I121</f>
        <v>0</v>
      </c>
      <c r="D16" s="61"/>
      <c r="E16" s="168"/>
    </row>
    <row r="17" spans="1:5" s="57" customFormat="1" ht="19.5" customHeight="1">
      <c r="A17" s="113" t="s">
        <v>224</v>
      </c>
      <c r="B17" s="110" t="s">
        <v>259</v>
      </c>
      <c r="C17" s="60">
        <f>Rozpočet!I133</f>
        <v>0</v>
      </c>
      <c r="D17" s="61"/>
      <c r="E17" s="168"/>
    </row>
    <row r="18" spans="1:5" s="57" customFormat="1" ht="19.5" customHeight="1">
      <c r="A18" s="113" t="s">
        <v>145</v>
      </c>
      <c r="B18" s="110" t="s">
        <v>150</v>
      </c>
      <c r="C18" s="60">
        <f>Rozpočet!I173</f>
        <v>0</v>
      </c>
      <c r="D18" s="61">
        <f>Rozpočet!G173</f>
        <v>0.96226976</v>
      </c>
      <c r="E18" s="168"/>
    </row>
    <row r="19" spans="1:5" s="57" customFormat="1" ht="19.5" customHeight="1">
      <c r="A19" s="113" t="s">
        <v>149</v>
      </c>
      <c r="B19" s="110" t="s">
        <v>248</v>
      </c>
      <c r="C19" s="60">
        <f>Rozpočet!I185</f>
        <v>0</v>
      </c>
      <c r="D19" s="61"/>
      <c r="E19" s="168"/>
    </row>
    <row r="20" spans="1:5" s="57" customFormat="1" ht="19.5" customHeight="1">
      <c r="A20" s="58" t="str">
        <f>Rozpočet!B187</f>
        <v>767</v>
      </c>
      <c r="B20" s="59" t="str">
        <f>Rozpočet!C187</f>
        <v>Konstrukce zámečnické</v>
      </c>
      <c r="C20" s="60">
        <f>Rozpočet!I217</f>
        <v>0</v>
      </c>
      <c r="D20" s="61">
        <v>0</v>
      </c>
      <c r="E20" s="168"/>
    </row>
    <row r="21" spans="1:5" s="57" customFormat="1" ht="19.5" customHeight="1">
      <c r="A21" s="58">
        <v>783</v>
      </c>
      <c r="B21" s="59" t="s">
        <v>135</v>
      </c>
      <c r="C21" s="60">
        <f>Rozpočet!I233</f>
        <v>0</v>
      </c>
      <c r="D21" s="61">
        <v>0</v>
      </c>
      <c r="E21" s="168"/>
    </row>
    <row r="22" spans="1:5" s="57" customFormat="1" ht="19.5" customHeight="1">
      <c r="A22" s="58" t="str">
        <f>Rozpočet!B235</f>
        <v>94</v>
      </c>
      <c r="B22" s="59" t="str">
        <f>Rozpočet!C235</f>
        <v>Leseni a stavebni vytahy</v>
      </c>
      <c r="C22" s="60">
        <f>Rozpočet!I251</f>
        <v>0</v>
      </c>
      <c r="D22" s="61">
        <v>0</v>
      </c>
      <c r="E22" s="168"/>
    </row>
    <row r="23" spans="1:5" s="57" customFormat="1" ht="19.5" customHeight="1">
      <c r="A23" s="58">
        <v>95</v>
      </c>
      <c r="B23" s="59" t="s">
        <v>262</v>
      </c>
      <c r="C23" s="60">
        <f>Rozpočet!I272</f>
        <v>0</v>
      </c>
      <c r="D23" s="61">
        <f>Rozpočet!G272</f>
        <v>0</v>
      </c>
      <c r="E23" s="168"/>
    </row>
    <row r="24" spans="1:5" s="57" customFormat="1" ht="19.5" customHeight="1">
      <c r="A24" s="58" t="str">
        <f>Rozpočet!B274</f>
        <v>96</v>
      </c>
      <c r="B24" s="59" t="str">
        <f>Rozpočet!C274</f>
        <v>Bourani konstrukci</v>
      </c>
      <c r="C24" s="60">
        <f>Rozpočet!I302</f>
        <v>0</v>
      </c>
      <c r="D24" s="61">
        <f>Rozpočet!G251</f>
        <v>10.599458499999997</v>
      </c>
      <c r="E24" s="168"/>
    </row>
    <row r="25" spans="1:5" s="57" customFormat="1" ht="19.5" customHeight="1">
      <c r="A25" s="58" t="str">
        <f>Rozpočet!B304</f>
        <v>99</v>
      </c>
      <c r="B25" s="59" t="str">
        <f>Rozpočet!C304</f>
        <v>Presun hmot</v>
      </c>
      <c r="C25" s="60">
        <f>Rozpočet!I307</f>
        <v>0</v>
      </c>
      <c r="D25" s="61">
        <f>Rozpočet!G302</f>
        <v>0</v>
      </c>
      <c r="E25" s="168"/>
    </row>
    <row r="26" spans="1:5" s="57" customFormat="1" ht="19.5" customHeight="1">
      <c r="A26" s="58" t="s">
        <v>151</v>
      </c>
      <c r="B26" s="59" t="s">
        <v>152</v>
      </c>
      <c r="C26" s="60">
        <f>Rozpočet!I317</f>
        <v>0</v>
      </c>
      <c r="D26" s="61">
        <v>0</v>
      </c>
      <c r="E26" s="168"/>
    </row>
    <row r="27" spans="1:5" s="57" customFormat="1" ht="19.5" customHeight="1">
      <c r="A27" s="58" t="s">
        <v>90</v>
      </c>
      <c r="B27" s="59" t="s">
        <v>91</v>
      </c>
      <c r="C27" s="60">
        <f>Rozpočet!I331</f>
        <v>0</v>
      </c>
      <c r="D27" s="61">
        <v>0</v>
      </c>
      <c r="E27" s="168"/>
    </row>
    <row r="28" spans="1:5" s="57" customFormat="1" ht="19.5" customHeight="1">
      <c r="A28" s="58" t="s">
        <v>105</v>
      </c>
      <c r="B28" s="59" t="s">
        <v>106</v>
      </c>
      <c r="C28" s="60">
        <f>Rozpočet!I347</f>
        <v>0</v>
      </c>
      <c r="D28" s="61">
        <v>0</v>
      </c>
      <c r="E28" s="168"/>
    </row>
    <row r="29" spans="1:4" ht="8.25" customHeight="1" thickBot="1">
      <c r="A29" s="6"/>
      <c r="B29" s="15"/>
      <c r="C29" s="1"/>
      <c r="D29" s="61">
        <v>0</v>
      </c>
    </row>
    <row r="30" spans="1:4" s="67" customFormat="1" ht="21.75" customHeight="1" thickTop="1">
      <c r="A30" s="64"/>
      <c r="B30" s="65" t="s">
        <v>21</v>
      </c>
      <c r="C30" s="68">
        <f>SUM(C9:C29)</f>
        <v>0</v>
      </c>
      <c r="D30" s="66">
        <f>SUM(D9:D29)</f>
        <v>183.28251178500003</v>
      </c>
    </row>
    <row r="32" spans="2:4" s="62" customFormat="1" ht="16.5" customHeight="1">
      <c r="B32" s="62" t="s">
        <v>83</v>
      </c>
      <c r="C32" s="63">
        <f>SUM(C14:C21)</f>
        <v>0</v>
      </c>
      <c r="D32"/>
    </row>
    <row r="33" spans="2:3" s="62" customFormat="1" ht="16.5" customHeight="1">
      <c r="B33" s="62" t="s">
        <v>82</v>
      </c>
      <c r="C33" s="63">
        <f>SUM(C10:C13)+SUM(C22:C25)</f>
        <v>0</v>
      </c>
    </row>
    <row r="34" spans="2:4" ht="14.25">
      <c r="B34" t="s">
        <v>136</v>
      </c>
      <c r="C34" s="55">
        <f>SUM(C26:C26)</f>
        <v>0</v>
      </c>
      <c r="D34" s="62"/>
    </row>
    <row r="35" spans="2:3" ht="12.75">
      <c r="B35" t="s">
        <v>141</v>
      </c>
      <c r="C35" s="55">
        <f>C27+C28</f>
        <v>0</v>
      </c>
    </row>
    <row r="37" ht="12.75">
      <c r="C37" s="55"/>
    </row>
  </sheetData>
  <sheetProtection/>
  <mergeCells count="1">
    <mergeCell ref="B4:C4"/>
  </mergeCells>
  <printOptions/>
  <pageMargins left="0.81" right="0.4" top="0.79" bottom="0.984251968503937" header="0.41" footer="0.5118110236220472"/>
  <pageSetup horizontalDpi="200" verticalDpi="200" orientation="portrait" paperSize="9" r:id="rId1"/>
  <headerFooter alignWithMargins="0">
    <oddFooter>&amp;R&amp;9Strana &amp;P z &amp;N stran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J347"/>
  <sheetViews>
    <sheetView zoomScale="115" zoomScaleNormal="115" zoomScalePageLayoutView="0" workbookViewId="0" topLeftCell="A1">
      <selection activeCell="A1" sqref="A1:A2"/>
    </sheetView>
  </sheetViews>
  <sheetFormatPr defaultColWidth="9.00390625" defaultRowHeight="12.75" outlineLevelRow="1"/>
  <cols>
    <col min="1" max="1" width="4.875" style="105" customWidth="1"/>
    <col min="2" max="2" width="14.375" style="69" customWidth="1"/>
    <col min="3" max="3" width="54.75390625" style="80" customWidth="1"/>
    <col min="4" max="4" width="6.125" style="76" customWidth="1"/>
    <col min="5" max="5" width="10.125" style="69" customWidth="1"/>
    <col min="6" max="7" width="8.375" style="69" hidden="1" customWidth="1"/>
    <col min="8" max="8" width="10.125" style="69" hidden="1" customWidth="1"/>
    <col min="9" max="9" width="12.00390625" style="69" hidden="1" customWidth="1"/>
    <col min="10" max="10" width="6.75390625" style="76" hidden="1" customWidth="1"/>
    <col min="11" max="11" width="12.75390625" style="69" customWidth="1"/>
    <col min="12" max="16384" width="9.125" style="69" customWidth="1"/>
  </cols>
  <sheetData>
    <row r="1" spans="1:10" ht="11.25">
      <c r="A1" s="310"/>
      <c r="B1" s="307" t="s">
        <v>89</v>
      </c>
      <c r="C1" s="301" t="s">
        <v>15</v>
      </c>
      <c r="D1" s="301" t="s">
        <v>86</v>
      </c>
      <c r="E1" s="307" t="s">
        <v>22</v>
      </c>
      <c r="F1" s="303" t="s">
        <v>84</v>
      </c>
      <c r="G1" s="305" t="s">
        <v>85</v>
      </c>
      <c r="H1" s="297" t="s">
        <v>125</v>
      </c>
      <c r="I1" s="298"/>
      <c r="J1" s="299" t="s">
        <v>126</v>
      </c>
    </row>
    <row r="2" spans="1:10" ht="14.25" customHeight="1">
      <c r="A2" s="311"/>
      <c r="B2" s="308"/>
      <c r="C2" s="302"/>
      <c r="D2" s="302"/>
      <c r="E2" s="308"/>
      <c r="F2" s="304"/>
      <c r="G2" s="306"/>
      <c r="H2" s="140" t="s">
        <v>14</v>
      </c>
      <c r="I2" s="145" t="s">
        <v>17</v>
      </c>
      <c r="J2" s="300"/>
    </row>
    <row r="3" spans="1:9" ht="3" customHeight="1" thickBot="1">
      <c r="A3" s="172"/>
      <c r="B3" s="71"/>
      <c r="C3" s="72"/>
      <c r="D3" s="73"/>
      <c r="E3" s="73"/>
      <c r="F3" s="74"/>
      <c r="G3" s="74"/>
      <c r="H3" s="74"/>
      <c r="I3" s="75"/>
    </row>
    <row r="4" spans="2:4" ht="11.25">
      <c r="B4" s="77" t="s">
        <v>70</v>
      </c>
      <c r="C4" s="78" t="s">
        <v>71</v>
      </c>
      <c r="D4" s="79"/>
    </row>
    <row r="5" ht="6" customHeight="1"/>
    <row r="6" spans="1:10" ht="12.75" customHeight="1">
      <c r="A6" s="101" t="s">
        <v>70</v>
      </c>
      <c r="B6" s="91" t="s">
        <v>273</v>
      </c>
      <c r="C6" s="82" t="s">
        <v>274</v>
      </c>
      <c r="D6" s="83" t="s">
        <v>72</v>
      </c>
      <c r="E6" s="84">
        <f>SUM(E8:E9)</f>
        <v>83.04</v>
      </c>
      <c r="F6" s="85">
        <v>0.138</v>
      </c>
      <c r="G6" s="103">
        <f>E6*F6</f>
        <v>11.459520000000001</v>
      </c>
      <c r="H6" s="86"/>
      <c r="I6" s="87">
        <f>E6*H6</f>
        <v>0</v>
      </c>
      <c r="J6" s="161" t="s">
        <v>372</v>
      </c>
    </row>
    <row r="7" spans="1:10" ht="22.5" customHeight="1" hidden="1" outlineLevel="1">
      <c r="A7" s="101"/>
      <c r="B7" s="91"/>
      <c r="C7" s="131" t="s">
        <v>276</v>
      </c>
      <c r="D7" s="89"/>
      <c r="E7" s="90">
        <v>0</v>
      </c>
      <c r="F7" s="85"/>
      <c r="G7" s="103"/>
      <c r="H7" s="86"/>
      <c r="I7" s="100"/>
      <c r="J7" s="161"/>
    </row>
    <row r="8" spans="1:10" ht="12.75" customHeight="1" hidden="1" outlineLevel="1">
      <c r="A8" s="101"/>
      <c r="B8" s="91"/>
      <c r="C8" s="131" t="s">
        <v>275</v>
      </c>
      <c r="D8" s="89"/>
      <c r="E8" s="90">
        <v>0</v>
      </c>
      <c r="F8" s="85"/>
      <c r="G8" s="103"/>
      <c r="H8" s="86"/>
      <c r="I8" s="100"/>
      <c r="J8" s="161"/>
    </row>
    <row r="9" spans="1:10" ht="24.75" customHeight="1" hidden="1" outlineLevel="1">
      <c r="A9" s="101"/>
      <c r="B9" s="91"/>
      <c r="C9" s="114" t="s">
        <v>370</v>
      </c>
      <c r="D9" s="89"/>
      <c r="E9" s="90">
        <f>(25.64+4.8+18.95+18.85+1.2+22.24+2.05+3.9+16.45+(1.2*2+0.2)*20)*0.5</f>
        <v>83.04</v>
      </c>
      <c r="F9" s="85"/>
      <c r="G9" s="103"/>
      <c r="H9" s="86"/>
      <c r="I9" s="100"/>
      <c r="J9" s="161"/>
    </row>
    <row r="10" spans="1:10" ht="12.75" customHeight="1" collapsed="1">
      <c r="A10" s="174" t="s">
        <v>510</v>
      </c>
      <c r="B10" s="91" t="s">
        <v>374</v>
      </c>
      <c r="C10" s="82" t="s">
        <v>373</v>
      </c>
      <c r="D10" s="83" t="s">
        <v>72</v>
      </c>
      <c r="E10" s="84">
        <f>SUM(E11:E12)</f>
        <v>83.04</v>
      </c>
      <c r="F10" s="85">
        <v>0.33</v>
      </c>
      <c r="G10" s="103">
        <f>E10*F10</f>
        <v>27.403200000000002</v>
      </c>
      <c r="H10" s="86"/>
      <c r="I10" s="87">
        <f>E10*H10</f>
        <v>0</v>
      </c>
      <c r="J10" s="161" t="s">
        <v>372</v>
      </c>
    </row>
    <row r="11" spans="1:10" ht="12.75" customHeight="1" hidden="1" outlineLevel="1">
      <c r="A11" s="101"/>
      <c r="B11" s="91"/>
      <c r="C11" s="131" t="s">
        <v>275</v>
      </c>
      <c r="D11" s="89"/>
      <c r="E11" s="90">
        <v>0</v>
      </c>
      <c r="F11" s="85"/>
      <c r="G11" s="103"/>
      <c r="H11" s="86"/>
      <c r="I11" s="100"/>
      <c r="J11" s="161"/>
    </row>
    <row r="12" spans="1:10" ht="24.75" customHeight="1" hidden="1" outlineLevel="1">
      <c r="A12" s="101"/>
      <c r="B12" s="91"/>
      <c r="C12" s="114" t="s">
        <v>370</v>
      </c>
      <c r="D12" s="89"/>
      <c r="E12" s="90">
        <f>(25.64+4.8+18.95+18.85+1.2+22.24+2.05+3.9+16.45+(1.2*2+0.2)*20)*0.5</f>
        <v>83.04</v>
      </c>
      <c r="F12" s="85"/>
      <c r="G12" s="103"/>
      <c r="H12" s="86"/>
      <c r="I12" s="100"/>
      <c r="J12" s="161"/>
    </row>
    <row r="13" spans="1:10" ht="12.75" customHeight="1" collapsed="1">
      <c r="A13" s="101" t="s">
        <v>511</v>
      </c>
      <c r="B13" s="91" t="s">
        <v>278</v>
      </c>
      <c r="C13" s="82" t="s">
        <v>279</v>
      </c>
      <c r="D13" s="83" t="s">
        <v>128</v>
      </c>
      <c r="E13" s="84">
        <f>SUM(E14:E16)</f>
        <v>8.304</v>
      </c>
      <c r="F13" s="85">
        <v>0</v>
      </c>
      <c r="G13" s="103">
        <f>E13*F13</f>
        <v>0</v>
      </c>
      <c r="H13" s="86"/>
      <c r="I13" s="87">
        <f>E13*H13</f>
        <v>0</v>
      </c>
      <c r="J13" s="161" t="s">
        <v>372</v>
      </c>
    </row>
    <row r="14" spans="1:10" ht="36" customHeight="1" hidden="1" outlineLevel="1">
      <c r="A14" s="101"/>
      <c r="B14" s="91"/>
      <c r="C14" s="114" t="s">
        <v>183</v>
      </c>
      <c r="D14" s="89"/>
      <c r="E14" s="90">
        <v>0</v>
      </c>
      <c r="F14" s="85"/>
      <c r="G14" s="103"/>
      <c r="H14" s="86"/>
      <c r="I14" s="100"/>
      <c r="J14" s="161"/>
    </row>
    <row r="15" spans="1:10" ht="12.75" customHeight="1" hidden="1" outlineLevel="1">
      <c r="A15" s="101"/>
      <c r="B15" s="91"/>
      <c r="C15" s="131" t="s">
        <v>275</v>
      </c>
      <c r="D15" s="89"/>
      <c r="E15" s="90">
        <v>0</v>
      </c>
      <c r="F15" s="85"/>
      <c r="G15" s="103"/>
      <c r="H15" s="86"/>
      <c r="I15" s="100"/>
      <c r="J15" s="161"/>
    </row>
    <row r="16" spans="1:10" ht="25.5" customHeight="1" hidden="1" outlineLevel="1">
      <c r="A16" s="101"/>
      <c r="B16" s="91"/>
      <c r="C16" s="114" t="s">
        <v>371</v>
      </c>
      <c r="D16" s="89"/>
      <c r="E16" s="90">
        <f>(25.64+4.8+18.95+18.85+1.2+22.24+2.05+3.9+16.45+(1.2*2+0.2)*20)*0.5*0.1</f>
        <v>8.304</v>
      </c>
      <c r="F16" s="85"/>
      <c r="G16" s="103"/>
      <c r="H16" s="86"/>
      <c r="I16" s="100"/>
      <c r="J16" s="161"/>
    </row>
    <row r="17" spans="1:10" ht="12.75" customHeight="1" collapsed="1">
      <c r="A17" s="101" t="s">
        <v>163</v>
      </c>
      <c r="B17" s="91" t="s">
        <v>122</v>
      </c>
      <c r="C17" s="82" t="s">
        <v>123</v>
      </c>
      <c r="D17" s="83" t="s">
        <v>72</v>
      </c>
      <c r="E17" s="84">
        <f>SUM(E18:E19)</f>
        <v>570.4000000000001</v>
      </c>
      <c r="F17" s="85">
        <v>0</v>
      </c>
      <c r="G17" s="103">
        <f>E17*F17</f>
        <v>0</v>
      </c>
      <c r="H17" s="86"/>
      <c r="I17" s="87">
        <f>E17*H17</f>
        <v>0</v>
      </c>
      <c r="J17" s="161" t="s">
        <v>372</v>
      </c>
    </row>
    <row r="18" spans="1:10" ht="12.75" customHeight="1" hidden="1" outlineLevel="1">
      <c r="A18" s="101"/>
      <c r="B18" s="91"/>
      <c r="C18" s="114" t="s">
        <v>80</v>
      </c>
      <c r="D18" s="89"/>
      <c r="E18" s="90">
        <v>0</v>
      </c>
      <c r="F18" s="85"/>
      <c r="G18" s="103"/>
      <c r="H18" s="86"/>
      <c r="I18" s="100"/>
      <c r="J18" s="161"/>
    </row>
    <row r="19" spans="1:10" ht="22.5" customHeight="1" hidden="1" outlineLevel="1">
      <c r="A19" s="101"/>
      <c r="B19" s="91"/>
      <c r="C19" s="114" t="s">
        <v>375</v>
      </c>
      <c r="D19" s="89"/>
      <c r="E19" s="90">
        <f>(25.64+4.8+18.95+18.85+1.2+22.24+2.05+3.9+16.45)*5</f>
        <v>570.4000000000001</v>
      </c>
      <c r="F19" s="85"/>
      <c r="G19" s="103"/>
      <c r="H19" s="86"/>
      <c r="I19" s="100"/>
      <c r="J19" s="161"/>
    </row>
    <row r="20" spans="1:10" ht="12.75" customHeight="1" collapsed="1">
      <c r="A20" s="101" t="s">
        <v>512</v>
      </c>
      <c r="B20" s="81" t="s">
        <v>73</v>
      </c>
      <c r="C20" s="82" t="s">
        <v>124</v>
      </c>
      <c r="D20" s="83" t="s">
        <v>72</v>
      </c>
      <c r="E20" s="84">
        <f>SUM(E21:E22)</f>
        <v>570.4000000000001</v>
      </c>
      <c r="F20" s="85">
        <v>0</v>
      </c>
      <c r="G20" s="103">
        <f>E20*F20</f>
        <v>0</v>
      </c>
      <c r="H20" s="86"/>
      <c r="I20" s="87">
        <f>E20*H20</f>
        <v>0</v>
      </c>
      <c r="J20" s="161" t="s">
        <v>372</v>
      </c>
    </row>
    <row r="21" spans="1:10" ht="12.75" customHeight="1" hidden="1" outlineLevel="1">
      <c r="A21" s="101"/>
      <c r="B21" s="81"/>
      <c r="C21" s="114" t="s">
        <v>80</v>
      </c>
      <c r="D21" s="89"/>
      <c r="E21" s="90">
        <v>0</v>
      </c>
      <c r="F21" s="85"/>
      <c r="G21" s="103"/>
      <c r="H21" s="86"/>
      <c r="I21" s="100"/>
      <c r="J21" s="161"/>
    </row>
    <row r="22" spans="1:10" ht="24" customHeight="1" hidden="1" outlineLevel="1">
      <c r="A22" s="101"/>
      <c r="B22" s="81"/>
      <c r="C22" s="114" t="s">
        <v>375</v>
      </c>
      <c r="D22" s="89"/>
      <c r="E22" s="90">
        <f>(25.64+4.8+18.95+18.85+1.2+22.24+2.05+3.9+16.45)*5</f>
        <v>570.4000000000001</v>
      </c>
      <c r="F22" s="85"/>
      <c r="G22" s="103"/>
      <c r="H22" s="86"/>
      <c r="I22" s="100"/>
      <c r="J22" s="161"/>
    </row>
    <row r="23" spans="1:10" ht="12.75" customHeight="1" collapsed="1">
      <c r="A23" s="101" t="s">
        <v>513</v>
      </c>
      <c r="B23" s="92" t="s">
        <v>171</v>
      </c>
      <c r="C23" s="82" t="s">
        <v>172</v>
      </c>
      <c r="D23" s="83" t="s">
        <v>74</v>
      </c>
      <c r="E23" s="84">
        <f>E20*0.1</f>
        <v>57.04000000000001</v>
      </c>
      <c r="F23" s="85">
        <v>0</v>
      </c>
      <c r="G23" s="103">
        <f>E23*F23</f>
        <v>0</v>
      </c>
      <c r="H23" s="86"/>
      <c r="I23" s="87">
        <f>E23*H23</f>
        <v>0</v>
      </c>
      <c r="J23" s="161"/>
    </row>
    <row r="24" spans="1:10" s="95" customFormat="1" ht="12.75" customHeight="1">
      <c r="A24" s="101" t="s">
        <v>514</v>
      </c>
      <c r="B24" s="155" t="s">
        <v>155</v>
      </c>
      <c r="C24" s="82" t="s">
        <v>156</v>
      </c>
      <c r="D24" s="83" t="s">
        <v>72</v>
      </c>
      <c r="E24" s="84">
        <f>SUM(E25:E26)</f>
        <v>570.4000000000001</v>
      </c>
      <c r="F24" s="85">
        <v>0</v>
      </c>
      <c r="G24" s="103">
        <f>E24*F24</f>
        <v>0</v>
      </c>
      <c r="H24" s="86"/>
      <c r="I24" s="87">
        <f>E24*H24</f>
        <v>0</v>
      </c>
      <c r="J24" s="161" t="s">
        <v>372</v>
      </c>
    </row>
    <row r="25" spans="1:10" s="95" customFormat="1" ht="12.75" customHeight="1" hidden="1" outlineLevel="1">
      <c r="A25" s="135"/>
      <c r="B25" s="92"/>
      <c r="C25" s="114" t="s">
        <v>80</v>
      </c>
      <c r="D25" s="89"/>
      <c r="E25" s="90">
        <v>0</v>
      </c>
      <c r="F25" s="85"/>
      <c r="G25" s="103"/>
      <c r="H25" s="86"/>
      <c r="I25" s="100"/>
      <c r="J25" s="161"/>
    </row>
    <row r="26" spans="1:10" s="95" customFormat="1" ht="22.5" customHeight="1" hidden="1" outlineLevel="1">
      <c r="A26" s="135"/>
      <c r="B26" s="92"/>
      <c r="C26" s="114" t="s">
        <v>375</v>
      </c>
      <c r="D26" s="89"/>
      <c r="E26" s="90">
        <f>(25.64+4.8+18.95+18.85+1.2+22.24+2.05+3.9+16.45)*5</f>
        <v>570.4000000000001</v>
      </c>
      <c r="F26" s="85"/>
      <c r="G26" s="103"/>
      <c r="H26" s="86"/>
      <c r="I26" s="100"/>
      <c r="J26" s="161"/>
    </row>
    <row r="27" spans="3:10" ht="12.75" customHeight="1" collapsed="1">
      <c r="C27" s="93" t="str">
        <f>CONCATENATE(B4," celkem")</f>
        <v>1 celkem</v>
      </c>
      <c r="G27" s="111">
        <f>SUBTOTAL(9,G6:G24)</f>
        <v>38.86272</v>
      </c>
      <c r="I27" s="94">
        <f>SUBTOTAL(9,I6:I26)</f>
        <v>0</v>
      </c>
      <c r="J27" s="161"/>
    </row>
    <row r="28" spans="1:10" s="95" customFormat="1" ht="11.25">
      <c r="A28" s="105"/>
      <c r="C28" s="115"/>
      <c r="D28" s="105"/>
      <c r="G28" s="111"/>
      <c r="I28" s="112"/>
      <c r="J28" s="162"/>
    </row>
    <row r="29" spans="1:10" s="95" customFormat="1" ht="11.25">
      <c r="A29" s="105"/>
      <c r="B29" s="77" t="s">
        <v>163</v>
      </c>
      <c r="C29" s="78" t="s">
        <v>164</v>
      </c>
      <c r="D29" s="76"/>
      <c r="E29" s="69"/>
      <c r="F29" s="69"/>
      <c r="G29" s="69"/>
      <c r="H29" s="69"/>
      <c r="I29" s="69"/>
      <c r="J29" s="161"/>
    </row>
    <row r="30" spans="1:10" s="95" customFormat="1" ht="4.5" customHeight="1">
      <c r="A30" s="105"/>
      <c r="B30" s="69"/>
      <c r="C30" s="80"/>
      <c r="D30" s="76"/>
      <c r="E30" s="69"/>
      <c r="F30" s="69"/>
      <c r="G30" s="69"/>
      <c r="H30" s="69"/>
      <c r="I30" s="69"/>
      <c r="J30" s="161"/>
    </row>
    <row r="31" spans="1:10" s="95" customFormat="1" ht="13.5" customHeight="1">
      <c r="A31" s="101" t="s">
        <v>515</v>
      </c>
      <c r="B31" s="81" t="s">
        <v>376</v>
      </c>
      <c r="C31" s="82" t="s">
        <v>377</v>
      </c>
      <c r="D31" s="83" t="s">
        <v>72</v>
      </c>
      <c r="E31" s="84">
        <f>SUM(E33:E33)</f>
        <v>83.04</v>
      </c>
      <c r="F31" s="85">
        <v>0.21252</v>
      </c>
      <c r="G31" s="103">
        <f>E31*F31</f>
        <v>17.6476608</v>
      </c>
      <c r="H31" s="86"/>
      <c r="I31" s="87">
        <f>E31*H31</f>
        <v>0</v>
      </c>
      <c r="J31" s="161" t="s">
        <v>372</v>
      </c>
    </row>
    <row r="32" spans="1:10" s="95" customFormat="1" ht="12" customHeight="1" hidden="1" outlineLevel="1">
      <c r="A32" s="105"/>
      <c r="B32" s="98"/>
      <c r="C32" s="131" t="s">
        <v>161</v>
      </c>
      <c r="D32" s="89"/>
      <c r="E32" s="90">
        <v>0</v>
      </c>
      <c r="F32" s="102"/>
      <c r="G32" s="103"/>
      <c r="H32" s="104"/>
      <c r="I32" s="100"/>
      <c r="J32" s="162"/>
    </row>
    <row r="33" spans="1:10" s="95" customFormat="1" ht="24.75" customHeight="1" hidden="1" outlineLevel="1">
      <c r="A33" s="105"/>
      <c r="B33" s="98"/>
      <c r="C33" s="114" t="s">
        <v>370</v>
      </c>
      <c r="D33" s="89"/>
      <c r="E33" s="90">
        <f>(25.64+4.8+18.95+18.85+1.2+22.24+2.05+3.9+16.45+(1.2*2+0.2)*20)*0.5</f>
        <v>83.04</v>
      </c>
      <c r="F33" s="102"/>
      <c r="G33" s="103"/>
      <c r="H33" s="104"/>
      <c r="I33" s="100"/>
      <c r="J33" s="162"/>
    </row>
    <row r="34" spans="1:10" s="95" customFormat="1" ht="13.5" customHeight="1" collapsed="1">
      <c r="A34" s="105"/>
      <c r="B34" s="69"/>
      <c r="C34" s="93" t="str">
        <f>CONCATENATE(B29," celkem")</f>
        <v>4 celkem</v>
      </c>
      <c r="D34" s="76"/>
      <c r="E34" s="69"/>
      <c r="F34" s="69"/>
      <c r="G34" s="111">
        <f>SUBTOTAL(9,G30:G33)</f>
        <v>17.6476608</v>
      </c>
      <c r="H34" s="69"/>
      <c r="I34" s="94">
        <f>SUBTOTAL(9,I31:I33)</f>
        <v>0</v>
      </c>
      <c r="J34" s="161"/>
    </row>
    <row r="35" spans="1:10" s="95" customFormat="1" ht="12.75" customHeight="1">
      <c r="A35" s="105"/>
      <c r="C35" s="115"/>
      <c r="D35" s="105"/>
      <c r="G35" s="111"/>
      <c r="I35" s="112"/>
      <c r="J35" s="162"/>
    </row>
    <row r="36" spans="2:10" ht="12.75" customHeight="1">
      <c r="B36" s="77" t="s">
        <v>76</v>
      </c>
      <c r="C36" s="78" t="s">
        <v>77</v>
      </c>
      <c r="J36" s="161"/>
    </row>
    <row r="37" ht="5.25" customHeight="1">
      <c r="J37" s="161"/>
    </row>
    <row r="38" spans="1:10" s="95" customFormat="1" ht="12.75" customHeight="1">
      <c r="A38" s="101" t="s">
        <v>516</v>
      </c>
      <c r="B38" s="81" t="s">
        <v>184</v>
      </c>
      <c r="C38" s="82" t="s">
        <v>185</v>
      </c>
      <c r="D38" s="83" t="s">
        <v>72</v>
      </c>
      <c r="E38" s="84">
        <f>SUM(E39:E40)</f>
        <v>129.80625</v>
      </c>
      <c r="F38" s="85">
        <v>0.0021</v>
      </c>
      <c r="G38" s="103">
        <f>E38*F38</f>
        <v>0.272593125</v>
      </c>
      <c r="H38" s="86"/>
      <c r="I38" s="87">
        <f>E38*H38</f>
        <v>0</v>
      </c>
      <c r="J38" s="161" t="s">
        <v>372</v>
      </c>
    </row>
    <row r="39" spans="1:10" s="95" customFormat="1" ht="34.5" customHeight="1" hidden="1" outlineLevel="1">
      <c r="A39" s="101"/>
      <c r="B39" s="98"/>
      <c r="C39" s="114" t="s">
        <v>186</v>
      </c>
      <c r="D39" s="147"/>
      <c r="E39" s="132">
        <v>0</v>
      </c>
      <c r="F39" s="102"/>
      <c r="G39" s="103"/>
      <c r="H39" s="104"/>
      <c r="I39" s="100"/>
      <c r="J39" s="162"/>
    </row>
    <row r="40" spans="1:10" s="95" customFormat="1" ht="12.75" customHeight="1" hidden="1" outlineLevel="1">
      <c r="A40" s="101"/>
      <c r="B40" s="98"/>
      <c r="C40" s="114" t="s">
        <v>497</v>
      </c>
      <c r="D40" s="147"/>
      <c r="E40" s="132">
        <f>3.45*(17.6+20.025)</f>
        <v>129.80625</v>
      </c>
      <c r="F40" s="102"/>
      <c r="G40" s="103"/>
      <c r="H40" s="104"/>
      <c r="I40" s="100"/>
      <c r="J40" s="162"/>
    </row>
    <row r="41" spans="3:10" ht="12.75" customHeight="1" collapsed="1">
      <c r="C41" s="93" t="str">
        <f>CONCATENATE(B36," celkem")</f>
        <v>62 celkem</v>
      </c>
      <c r="G41" s="111">
        <f>SUBTOTAL(9,G38:G40)</f>
        <v>0.272593125</v>
      </c>
      <c r="I41" s="94">
        <f>SUBTOTAL(9,I38:I40)</f>
        <v>0</v>
      </c>
      <c r="J41" s="161"/>
    </row>
    <row r="42" spans="1:10" s="95" customFormat="1" ht="12" customHeight="1">
      <c r="A42" s="105"/>
      <c r="C42" s="115"/>
      <c r="D42" s="105"/>
      <c r="G42" s="111"/>
      <c r="I42" s="112"/>
      <c r="J42" s="162"/>
    </row>
    <row r="43" spans="1:10" ht="12.75" customHeight="1">
      <c r="A43" s="95"/>
      <c r="B43" s="77" t="s">
        <v>157</v>
      </c>
      <c r="C43" s="78" t="s">
        <v>162</v>
      </c>
      <c r="D43" s="69"/>
      <c r="G43" s="95"/>
      <c r="J43" s="161"/>
    </row>
    <row r="44" spans="1:10" ht="3.75" customHeight="1">
      <c r="A44" s="95"/>
      <c r="D44" s="69"/>
      <c r="G44" s="95"/>
      <c r="J44" s="161"/>
    </row>
    <row r="45" spans="1:10" ht="12.75" customHeight="1">
      <c r="A45" s="101" t="s">
        <v>517</v>
      </c>
      <c r="B45" s="91" t="s">
        <v>459</v>
      </c>
      <c r="C45" s="82" t="s">
        <v>460</v>
      </c>
      <c r="D45" s="83" t="s">
        <v>128</v>
      </c>
      <c r="E45" s="84">
        <f>SUM(E46:E48)</f>
        <v>30.326400000000007</v>
      </c>
      <c r="F45" s="85">
        <v>2.525</v>
      </c>
      <c r="G45" s="103">
        <f>E45*F45</f>
        <v>76.57416000000002</v>
      </c>
      <c r="H45" s="86"/>
      <c r="I45" s="87">
        <f>E45*H45</f>
        <v>0</v>
      </c>
      <c r="J45" s="161" t="s">
        <v>372</v>
      </c>
    </row>
    <row r="46" spans="1:10" s="95" customFormat="1" ht="37.5" customHeight="1" hidden="1" outlineLevel="1">
      <c r="A46" s="101"/>
      <c r="B46" s="107"/>
      <c r="C46" s="131" t="s">
        <v>461</v>
      </c>
      <c r="D46" s="147"/>
      <c r="E46" s="132">
        <v>0</v>
      </c>
      <c r="F46" s="102"/>
      <c r="G46" s="103"/>
      <c r="H46" s="104"/>
      <c r="I46" s="100"/>
      <c r="J46" s="162"/>
    </row>
    <row r="47" spans="1:10" s="95" customFormat="1" ht="12.75" customHeight="1" hidden="1" outlineLevel="1">
      <c r="A47" s="101"/>
      <c r="B47" s="107"/>
      <c r="C47" s="131" t="s">
        <v>462</v>
      </c>
      <c r="D47" s="147"/>
      <c r="E47" s="90">
        <v>0</v>
      </c>
      <c r="F47" s="102"/>
      <c r="G47" s="103"/>
      <c r="H47" s="104"/>
      <c r="I47" s="100"/>
      <c r="J47" s="162"/>
    </row>
    <row r="48" spans="1:10" s="95" customFormat="1" ht="12.75" customHeight="1" hidden="1" outlineLevel="1">
      <c r="A48" s="101"/>
      <c r="B48" s="107"/>
      <c r="C48" s="114" t="s">
        <v>463</v>
      </c>
      <c r="D48" s="89"/>
      <c r="E48" s="90">
        <f>1.2*3.6*0.065*108</f>
        <v>30.326400000000007</v>
      </c>
      <c r="F48" s="102"/>
      <c r="G48" s="103"/>
      <c r="H48" s="104"/>
      <c r="I48" s="100"/>
      <c r="J48" s="162"/>
    </row>
    <row r="49" spans="1:10" ht="12.75" customHeight="1" collapsed="1">
      <c r="A49" s="101" t="s">
        <v>518</v>
      </c>
      <c r="B49" s="91" t="s">
        <v>158</v>
      </c>
      <c r="C49" s="82" t="s">
        <v>159</v>
      </c>
      <c r="D49" s="83" t="s">
        <v>72</v>
      </c>
      <c r="E49" s="84">
        <f>SUM(E50:E52)</f>
        <v>83.04</v>
      </c>
      <c r="F49" s="85">
        <v>0.24155</v>
      </c>
      <c r="G49" s="103">
        <f>E49*F49</f>
        <v>20.058312</v>
      </c>
      <c r="H49" s="86"/>
      <c r="I49" s="87">
        <f>E49*H49</f>
        <v>0</v>
      </c>
      <c r="J49" s="161" t="s">
        <v>372</v>
      </c>
    </row>
    <row r="50" spans="1:10" s="95" customFormat="1" ht="47.25" customHeight="1" hidden="1" outlineLevel="1">
      <c r="A50" s="101"/>
      <c r="B50" s="107"/>
      <c r="C50" s="131" t="s">
        <v>160</v>
      </c>
      <c r="D50" s="147"/>
      <c r="E50" s="132">
        <v>0</v>
      </c>
      <c r="F50" s="102"/>
      <c r="G50" s="103"/>
      <c r="H50" s="104"/>
      <c r="I50" s="100"/>
      <c r="J50" s="162"/>
    </row>
    <row r="51" spans="1:10" s="95" customFormat="1" ht="12.75" customHeight="1" hidden="1" outlineLevel="1">
      <c r="A51" s="101"/>
      <c r="B51" s="107"/>
      <c r="C51" s="131" t="s">
        <v>161</v>
      </c>
      <c r="D51" s="147"/>
      <c r="E51" s="90">
        <v>0</v>
      </c>
      <c r="F51" s="102"/>
      <c r="G51" s="103"/>
      <c r="H51" s="104"/>
      <c r="I51" s="100"/>
      <c r="J51" s="162"/>
    </row>
    <row r="52" spans="1:10" s="95" customFormat="1" ht="24" customHeight="1" hidden="1" outlineLevel="1">
      <c r="A52" s="101"/>
      <c r="B52" s="107"/>
      <c r="C52" s="114" t="s">
        <v>370</v>
      </c>
      <c r="D52" s="89"/>
      <c r="E52" s="90">
        <f>(25.64+4.8+18.95+18.85+1.2+22.24+2.05+3.9+16.45+(1.2*2+0.2)*20)*0.5</f>
        <v>83.04</v>
      </c>
      <c r="F52" s="102"/>
      <c r="G52" s="103"/>
      <c r="H52" s="104"/>
      <c r="I52" s="100"/>
      <c r="J52" s="162"/>
    </row>
    <row r="53" spans="1:10" s="95" customFormat="1" ht="12.75" customHeight="1" collapsed="1">
      <c r="A53" s="101" t="s">
        <v>519</v>
      </c>
      <c r="B53" s="81" t="s">
        <v>166</v>
      </c>
      <c r="C53" s="82" t="s">
        <v>167</v>
      </c>
      <c r="D53" s="83" t="s">
        <v>128</v>
      </c>
      <c r="E53" s="84">
        <f>SUM(E54:E54)</f>
        <v>9.9648</v>
      </c>
      <c r="F53" s="85">
        <v>1.837</v>
      </c>
      <c r="G53" s="103">
        <f>E53*F53</f>
        <v>18.3053376</v>
      </c>
      <c r="H53" s="86"/>
      <c r="I53" s="87">
        <f>E53*H53</f>
        <v>0</v>
      </c>
      <c r="J53" s="161" t="s">
        <v>372</v>
      </c>
    </row>
    <row r="54" spans="1:10" s="95" customFormat="1" ht="24.75" customHeight="1" hidden="1" outlineLevel="1">
      <c r="A54" s="101"/>
      <c r="B54" s="98"/>
      <c r="C54" s="114" t="s">
        <v>379</v>
      </c>
      <c r="D54" s="148"/>
      <c r="E54" s="89">
        <f>(25.64+4.8+18.95+18.85+1.2+22.24+2.05+3.9+16.45+(1.2*2+0.2)*20)*0.5*0.12</f>
        <v>9.9648</v>
      </c>
      <c r="F54" s="102"/>
      <c r="G54" s="103"/>
      <c r="H54" s="104"/>
      <c r="I54" s="100"/>
      <c r="J54" s="162"/>
    </row>
    <row r="55" spans="1:10" ht="12.75" customHeight="1" collapsed="1">
      <c r="A55" s="95"/>
      <c r="C55" s="93" t="str">
        <f>CONCATENATE(B43," celkem")</f>
        <v>63 celkem</v>
      </c>
      <c r="D55" s="69"/>
      <c r="G55" s="111">
        <f>SUBTOTAL(9,G45:G54)</f>
        <v>114.93780960000002</v>
      </c>
      <c r="I55" s="94">
        <f>SUBTOTAL(9,I45:I54)</f>
        <v>0</v>
      </c>
      <c r="J55" s="161"/>
    </row>
    <row r="56" spans="3:10" s="95" customFormat="1" ht="12" customHeight="1">
      <c r="C56" s="115"/>
      <c r="G56" s="111"/>
      <c r="I56" s="112"/>
      <c r="J56" s="162"/>
    </row>
    <row r="57" spans="1:10" ht="11.25">
      <c r="A57" s="95"/>
      <c r="B57" s="77" t="s">
        <v>194</v>
      </c>
      <c r="C57" s="78" t="s">
        <v>195</v>
      </c>
      <c r="D57" s="69"/>
      <c r="G57" s="95"/>
      <c r="J57" s="161"/>
    </row>
    <row r="58" spans="1:10" ht="6" customHeight="1">
      <c r="A58" s="95"/>
      <c r="D58" s="69"/>
      <c r="G58" s="95"/>
      <c r="J58" s="161"/>
    </row>
    <row r="59" spans="1:10" ht="12" customHeight="1">
      <c r="A59" s="101" t="s">
        <v>520</v>
      </c>
      <c r="B59" s="81" t="s">
        <v>196</v>
      </c>
      <c r="C59" s="82" t="s">
        <v>219</v>
      </c>
      <c r="D59" s="83" t="s">
        <v>72</v>
      </c>
      <c r="E59" s="84">
        <f>SUM(E60:E61)</f>
        <v>707.26</v>
      </c>
      <c r="F59" s="85">
        <v>0.002</v>
      </c>
      <c r="G59" s="103">
        <f>E59*F59</f>
        <v>1.41452</v>
      </c>
      <c r="H59" s="86"/>
      <c r="I59" s="87">
        <f>E59*H59</f>
        <v>0</v>
      </c>
      <c r="J59" s="161" t="s">
        <v>372</v>
      </c>
    </row>
    <row r="60" spans="1:10" s="95" customFormat="1" ht="12" customHeight="1" hidden="1" outlineLevel="1">
      <c r="A60" s="101"/>
      <c r="B60" s="98"/>
      <c r="C60" s="114" t="s">
        <v>197</v>
      </c>
      <c r="D60" s="89"/>
      <c r="E60" s="90">
        <v>0</v>
      </c>
      <c r="F60" s="102"/>
      <c r="G60" s="103"/>
      <c r="H60" s="104"/>
      <c r="I60" s="100"/>
      <c r="J60" s="162"/>
    </row>
    <row r="61" spans="1:10" s="95" customFormat="1" ht="11.25" customHeight="1" hidden="1" outlineLevel="1">
      <c r="A61" s="101"/>
      <c r="B61" s="98"/>
      <c r="C61" s="114" t="s">
        <v>380</v>
      </c>
      <c r="D61" s="89"/>
      <c r="E61" s="132">
        <f>450.15+222.46+34.65</f>
        <v>707.26</v>
      </c>
      <c r="F61" s="102"/>
      <c r="G61" s="103"/>
      <c r="H61" s="104"/>
      <c r="I61" s="100"/>
      <c r="J61" s="162"/>
    </row>
    <row r="62" spans="1:10" ht="12" customHeight="1" collapsed="1">
      <c r="A62" s="101" t="s">
        <v>521</v>
      </c>
      <c r="B62" s="81" t="s">
        <v>402</v>
      </c>
      <c r="C62" s="82" t="s">
        <v>403</v>
      </c>
      <c r="D62" s="83" t="s">
        <v>72</v>
      </c>
      <c r="E62" s="84">
        <f>SUM(E63:E66)</f>
        <v>87.23999999999998</v>
      </c>
      <c r="F62" s="85">
        <v>3E-05</v>
      </c>
      <c r="G62" s="103">
        <f>E62*F62</f>
        <v>0.0026171999999999996</v>
      </c>
      <c r="H62" s="86"/>
      <c r="I62" s="87">
        <f>E62*H62</f>
        <v>0</v>
      </c>
      <c r="J62" s="161" t="s">
        <v>372</v>
      </c>
    </row>
    <row r="63" spans="1:10" s="95" customFormat="1" ht="12" customHeight="1" hidden="1" outlineLevel="1">
      <c r="A63" s="101"/>
      <c r="B63" s="98"/>
      <c r="C63" s="114" t="s">
        <v>404</v>
      </c>
      <c r="D63" s="89"/>
      <c r="E63" s="90">
        <v>0</v>
      </c>
      <c r="F63" s="102"/>
      <c r="G63" s="103"/>
      <c r="H63" s="104"/>
      <c r="I63" s="100"/>
      <c r="J63" s="162"/>
    </row>
    <row r="64" spans="1:10" s="95" customFormat="1" ht="12" customHeight="1" hidden="1" outlineLevel="1">
      <c r="A64" s="101"/>
      <c r="B64" s="98"/>
      <c r="C64" s="114" t="s">
        <v>405</v>
      </c>
      <c r="D64" s="89"/>
      <c r="E64" s="132">
        <f>1.2*(25.34+7.35*2+18.12)</f>
        <v>69.79199999999999</v>
      </c>
      <c r="F64" s="102"/>
      <c r="G64" s="103"/>
      <c r="H64" s="104"/>
      <c r="I64" s="100"/>
      <c r="J64" s="162"/>
    </row>
    <row r="65" spans="1:10" s="95" customFormat="1" ht="12" customHeight="1" hidden="1" outlineLevel="1">
      <c r="A65" s="101"/>
      <c r="B65" s="98"/>
      <c r="C65" s="114" t="s">
        <v>406</v>
      </c>
      <c r="D65" s="89"/>
      <c r="E65" s="90">
        <v>0</v>
      </c>
      <c r="F65" s="102"/>
      <c r="G65" s="103"/>
      <c r="H65" s="104"/>
      <c r="I65" s="100"/>
      <c r="J65" s="162"/>
    </row>
    <row r="66" spans="1:10" s="95" customFormat="1" ht="12" customHeight="1" hidden="1" outlineLevel="1">
      <c r="A66" s="101"/>
      <c r="B66" s="98"/>
      <c r="C66" s="114" t="s">
        <v>407</v>
      </c>
      <c r="D66" s="89"/>
      <c r="E66" s="90">
        <f>0.3*(25.34+7.35*2+18.12)</f>
        <v>17.447999999999997</v>
      </c>
      <c r="F66" s="102"/>
      <c r="G66" s="103"/>
      <c r="H66" s="104"/>
      <c r="I66" s="100"/>
      <c r="J66" s="162"/>
    </row>
    <row r="67" spans="1:10" ht="21.75" customHeight="1" collapsed="1">
      <c r="A67" s="101" t="s">
        <v>522</v>
      </c>
      <c r="B67" s="92" t="s">
        <v>385</v>
      </c>
      <c r="C67" s="82" t="s">
        <v>384</v>
      </c>
      <c r="D67" s="83" t="s">
        <v>72</v>
      </c>
      <c r="E67" s="84">
        <f>E62*1.1</f>
        <v>95.96399999999998</v>
      </c>
      <c r="F67" s="85">
        <v>0.0018</v>
      </c>
      <c r="G67" s="103">
        <f>E67*F67</f>
        <v>0.17273519999999998</v>
      </c>
      <c r="H67" s="134"/>
      <c r="I67" s="87">
        <f>E67*H67</f>
        <v>0</v>
      </c>
      <c r="J67" s="161" t="s">
        <v>372</v>
      </c>
    </row>
    <row r="68" spans="1:10" ht="12.75" customHeight="1">
      <c r="A68" s="101" t="s">
        <v>523</v>
      </c>
      <c r="B68" s="81" t="s">
        <v>201</v>
      </c>
      <c r="C68" s="82" t="s">
        <v>202</v>
      </c>
      <c r="D68" s="83" t="s">
        <v>75</v>
      </c>
      <c r="E68" s="84">
        <f>SUM(E69:E70)</f>
        <v>184.07999999999998</v>
      </c>
      <c r="F68" s="85">
        <v>5E-05</v>
      </c>
      <c r="G68" s="103">
        <f>E68*F68</f>
        <v>0.009204</v>
      </c>
      <c r="H68" s="134"/>
      <c r="I68" s="87">
        <f>E68*H68</f>
        <v>0</v>
      </c>
      <c r="J68" s="161" t="s">
        <v>372</v>
      </c>
    </row>
    <row r="69" spans="1:10" s="95" customFormat="1" ht="24" customHeight="1" hidden="1" outlineLevel="1">
      <c r="A69" s="101"/>
      <c r="B69" s="98"/>
      <c r="C69" s="114" t="s">
        <v>203</v>
      </c>
      <c r="D69" s="151"/>
      <c r="E69" s="132"/>
      <c r="F69" s="102"/>
      <c r="G69" s="103"/>
      <c r="H69" s="136"/>
      <c r="I69" s="100"/>
      <c r="J69" s="162"/>
    </row>
    <row r="70" spans="1:10" s="95" customFormat="1" ht="12.75" customHeight="1" hidden="1" outlineLevel="1">
      <c r="A70" s="101"/>
      <c r="B70" s="98"/>
      <c r="C70" s="114" t="s">
        <v>410</v>
      </c>
      <c r="D70" s="151"/>
      <c r="E70" s="132">
        <f>(25.34+7.35*2+18.12)*3+8*1.2</f>
        <v>184.07999999999998</v>
      </c>
      <c r="F70" s="102"/>
      <c r="G70" s="103"/>
      <c r="H70" s="136"/>
      <c r="I70" s="100"/>
      <c r="J70" s="162"/>
    </row>
    <row r="71" spans="1:10" ht="24" customHeight="1" collapsed="1">
      <c r="A71" s="101" t="s">
        <v>524</v>
      </c>
      <c r="B71" s="92" t="s">
        <v>388</v>
      </c>
      <c r="C71" s="82" t="s">
        <v>203</v>
      </c>
      <c r="D71" s="83" t="s">
        <v>75</v>
      </c>
      <c r="E71" s="84">
        <f>SUM(E72:E73)</f>
        <v>63.976</v>
      </c>
      <c r="F71" s="85">
        <v>0.0018</v>
      </c>
      <c r="G71" s="103">
        <f>E71*F71</f>
        <v>0.11515679999999999</v>
      </c>
      <c r="H71" s="134"/>
      <c r="I71" s="87">
        <f>E71*H71</f>
        <v>0</v>
      </c>
      <c r="J71" s="161" t="s">
        <v>372</v>
      </c>
    </row>
    <row r="72" spans="1:10" s="95" customFormat="1" ht="12.75" customHeight="1" hidden="1" outlineLevel="1">
      <c r="A72" s="101"/>
      <c r="B72" s="149" t="s">
        <v>254</v>
      </c>
      <c r="C72" s="114" t="s">
        <v>387</v>
      </c>
      <c r="D72" s="151"/>
      <c r="E72" s="132">
        <v>0</v>
      </c>
      <c r="F72" s="102"/>
      <c r="G72" s="103"/>
      <c r="H72" s="136"/>
      <c r="I72" s="100"/>
      <c r="J72" s="162"/>
    </row>
    <row r="73" spans="1:10" s="95" customFormat="1" ht="12.75" customHeight="1" hidden="1" outlineLevel="1">
      <c r="A73" s="101"/>
      <c r="B73" s="98"/>
      <c r="C73" s="114" t="s">
        <v>434</v>
      </c>
      <c r="D73" s="151"/>
      <c r="E73" s="132">
        <f>(25.34+7.35*2+18.12)*1.1</f>
        <v>63.976</v>
      </c>
      <c r="F73" s="102"/>
      <c r="G73" s="103"/>
      <c r="H73" s="136"/>
      <c r="I73" s="100"/>
      <c r="J73" s="162"/>
    </row>
    <row r="74" spans="1:10" ht="24" customHeight="1" collapsed="1">
      <c r="A74" s="101" t="s">
        <v>525</v>
      </c>
      <c r="B74" s="92" t="s">
        <v>389</v>
      </c>
      <c r="C74" s="82" t="s">
        <v>203</v>
      </c>
      <c r="D74" s="83" t="s">
        <v>75</v>
      </c>
      <c r="E74" s="84">
        <f>SUM(E75:E76)</f>
        <v>63.976</v>
      </c>
      <c r="F74" s="85">
        <v>0.0018</v>
      </c>
      <c r="G74" s="103">
        <f>E74*F74</f>
        <v>0.11515679999999999</v>
      </c>
      <c r="H74" s="134"/>
      <c r="I74" s="87">
        <f>E74*H74</f>
        <v>0</v>
      </c>
      <c r="J74" s="161" t="s">
        <v>372</v>
      </c>
    </row>
    <row r="75" spans="1:10" s="95" customFormat="1" ht="12.75" customHeight="1" hidden="1" outlineLevel="1">
      <c r="A75" s="101"/>
      <c r="B75" s="149" t="s">
        <v>255</v>
      </c>
      <c r="C75" s="114" t="s">
        <v>390</v>
      </c>
      <c r="D75" s="151"/>
      <c r="E75" s="132">
        <v>0</v>
      </c>
      <c r="F75" s="102"/>
      <c r="G75" s="103"/>
      <c r="H75" s="136"/>
      <c r="I75" s="100"/>
      <c r="J75" s="162"/>
    </row>
    <row r="76" spans="1:10" s="95" customFormat="1" ht="12.75" customHeight="1" hidden="1" outlineLevel="1">
      <c r="A76" s="101"/>
      <c r="B76" s="98"/>
      <c r="C76" s="114" t="s">
        <v>434</v>
      </c>
      <c r="D76" s="151"/>
      <c r="E76" s="132">
        <f>(25.34+7.35*2+18.12)*1.1</f>
        <v>63.976</v>
      </c>
      <c r="F76" s="102"/>
      <c r="G76" s="103"/>
      <c r="H76" s="136"/>
      <c r="I76" s="100"/>
      <c r="J76" s="162"/>
    </row>
    <row r="77" spans="1:10" ht="24" customHeight="1" collapsed="1">
      <c r="A77" s="101" t="s">
        <v>526</v>
      </c>
      <c r="B77" s="92" t="s">
        <v>408</v>
      </c>
      <c r="C77" s="82" t="s">
        <v>203</v>
      </c>
      <c r="D77" s="83" t="s">
        <v>75</v>
      </c>
      <c r="E77" s="84">
        <f>SUM(E78:E79)</f>
        <v>74.536</v>
      </c>
      <c r="F77" s="85">
        <v>0.0018</v>
      </c>
      <c r="G77" s="103">
        <f>E77*F77</f>
        <v>0.1341648</v>
      </c>
      <c r="H77" s="134"/>
      <c r="I77" s="87">
        <f>E77*H77</f>
        <v>0</v>
      </c>
      <c r="J77" s="161" t="s">
        <v>372</v>
      </c>
    </row>
    <row r="78" spans="1:10" s="95" customFormat="1" ht="12.75" customHeight="1" hidden="1" outlineLevel="1">
      <c r="A78" s="101"/>
      <c r="B78" s="149" t="s">
        <v>432</v>
      </c>
      <c r="C78" s="114" t="s">
        <v>409</v>
      </c>
      <c r="D78" s="151"/>
      <c r="E78" s="132">
        <v>0</v>
      </c>
      <c r="F78" s="102"/>
      <c r="G78" s="103"/>
      <c r="H78" s="136"/>
      <c r="I78" s="100"/>
      <c r="J78" s="162"/>
    </row>
    <row r="79" spans="1:10" s="95" customFormat="1" ht="12.75" customHeight="1" hidden="1" outlineLevel="1">
      <c r="A79" s="101"/>
      <c r="B79" s="98"/>
      <c r="C79" s="114" t="s">
        <v>433</v>
      </c>
      <c r="D79" s="151"/>
      <c r="E79" s="132">
        <f>(25.34+7.35*2+18.12+8*1.2)*1.1</f>
        <v>74.536</v>
      </c>
      <c r="F79" s="102"/>
      <c r="G79" s="103"/>
      <c r="H79" s="136"/>
      <c r="I79" s="100"/>
      <c r="J79" s="162"/>
    </row>
    <row r="80" spans="1:10" ht="12.75" customHeight="1" collapsed="1">
      <c r="A80" s="101" t="s">
        <v>527</v>
      </c>
      <c r="B80" s="81" t="s">
        <v>204</v>
      </c>
      <c r="C80" s="82" t="s">
        <v>205</v>
      </c>
      <c r="D80" s="83" t="s">
        <v>72</v>
      </c>
      <c r="E80" s="84">
        <f>SUM(E81:E88)</f>
        <v>854.3860000000001</v>
      </c>
      <c r="F80" s="85">
        <v>1E-05</v>
      </c>
      <c r="G80" s="103">
        <f>E80*F80</f>
        <v>0.008543860000000002</v>
      </c>
      <c r="H80" s="86"/>
      <c r="I80" s="87">
        <f>E80*H80</f>
        <v>0</v>
      </c>
      <c r="J80" s="161" t="s">
        <v>372</v>
      </c>
    </row>
    <row r="81" spans="1:10" s="95" customFormat="1" ht="12" customHeight="1" hidden="1" outlineLevel="1">
      <c r="A81" s="101"/>
      <c r="B81" s="98"/>
      <c r="C81" s="114" t="s">
        <v>391</v>
      </c>
      <c r="D81" s="89"/>
      <c r="E81" s="90">
        <v>0</v>
      </c>
      <c r="F81" s="102"/>
      <c r="G81" s="103"/>
      <c r="H81" s="104"/>
      <c r="I81" s="100"/>
      <c r="J81" s="162"/>
    </row>
    <row r="82" spans="1:10" s="95" customFormat="1" ht="12.75" customHeight="1" hidden="1" outlineLevel="1">
      <c r="A82" s="101"/>
      <c r="B82" s="98"/>
      <c r="C82" s="114" t="s">
        <v>380</v>
      </c>
      <c r="D82" s="89"/>
      <c r="E82" s="132">
        <f>450.15+222.46+34.65</f>
        <v>707.26</v>
      </c>
      <c r="F82" s="102"/>
      <c r="G82" s="103"/>
      <c r="H82" s="104"/>
      <c r="I82" s="100"/>
      <c r="J82" s="162"/>
    </row>
    <row r="83" spans="1:10" s="95" customFormat="1" ht="12" customHeight="1" hidden="1" outlineLevel="1">
      <c r="A83" s="101"/>
      <c r="B83" s="98"/>
      <c r="C83" s="114" t="s">
        <v>198</v>
      </c>
      <c r="D83" s="89"/>
      <c r="E83" s="90">
        <v>0</v>
      </c>
      <c r="F83" s="102"/>
      <c r="G83" s="103"/>
      <c r="H83" s="104"/>
      <c r="I83" s="100"/>
      <c r="J83" s="162"/>
    </row>
    <row r="84" spans="1:10" s="95" customFormat="1" ht="12" customHeight="1" hidden="1" outlineLevel="1">
      <c r="A84" s="101"/>
      <c r="B84" s="98"/>
      <c r="C84" s="114" t="s">
        <v>381</v>
      </c>
      <c r="D84" s="89"/>
      <c r="E84" s="90">
        <f>(87.28+66.08+25.7)*0.35</f>
        <v>62.671</v>
      </c>
      <c r="F84" s="102"/>
      <c r="G84" s="103"/>
      <c r="H84" s="104"/>
      <c r="I84" s="100"/>
      <c r="J84" s="162"/>
    </row>
    <row r="85" spans="1:10" s="95" customFormat="1" ht="12" customHeight="1" hidden="1" outlineLevel="1">
      <c r="A85" s="101"/>
      <c r="B85" s="98"/>
      <c r="C85" s="114" t="s">
        <v>199</v>
      </c>
      <c r="D85" s="89"/>
      <c r="E85" s="90">
        <v>0</v>
      </c>
      <c r="F85" s="102"/>
      <c r="G85" s="103"/>
      <c r="H85" s="104"/>
      <c r="I85" s="100"/>
      <c r="J85" s="162"/>
    </row>
    <row r="86" spans="1:10" s="95" customFormat="1" ht="12" customHeight="1" hidden="1" outlineLevel="1">
      <c r="A86" s="101"/>
      <c r="B86" s="98"/>
      <c r="C86" s="114" t="s">
        <v>382</v>
      </c>
      <c r="D86" s="89"/>
      <c r="E86" s="90">
        <f>(87.28+66.08+25.7)*0.25</f>
        <v>44.765</v>
      </c>
      <c r="F86" s="102"/>
      <c r="G86" s="103"/>
      <c r="H86" s="104"/>
      <c r="I86" s="100"/>
      <c r="J86" s="162"/>
    </row>
    <row r="87" spans="1:10" s="95" customFormat="1" ht="12" customHeight="1" hidden="1" outlineLevel="1">
      <c r="A87" s="101"/>
      <c r="B87" s="98"/>
      <c r="C87" s="114" t="s">
        <v>200</v>
      </c>
      <c r="D87" s="89"/>
      <c r="E87" s="90">
        <v>0</v>
      </c>
      <c r="F87" s="102"/>
      <c r="G87" s="103"/>
      <c r="H87" s="104"/>
      <c r="I87" s="100"/>
      <c r="J87" s="162"/>
    </row>
    <row r="88" spans="1:10" s="95" customFormat="1" ht="12" customHeight="1" hidden="1" outlineLevel="1">
      <c r="A88" s="101"/>
      <c r="B88" s="98"/>
      <c r="C88" s="114" t="s">
        <v>383</v>
      </c>
      <c r="D88" s="89"/>
      <c r="E88" s="90">
        <f>(3.6*11+5.4*9)*0.45</f>
        <v>39.690000000000005</v>
      </c>
      <c r="F88" s="102"/>
      <c r="G88" s="103"/>
      <c r="H88" s="104"/>
      <c r="I88" s="100"/>
      <c r="J88" s="162"/>
    </row>
    <row r="89" spans="1:10" ht="12" customHeight="1" collapsed="1">
      <c r="A89" s="101" t="s">
        <v>528</v>
      </c>
      <c r="B89" s="92" t="s">
        <v>392</v>
      </c>
      <c r="C89" s="82" t="s">
        <v>206</v>
      </c>
      <c r="D89" s="83" t="s">
        <v>72</v>
      </c>
      <c r="E89" s="84">
        <f>E80*1.1</f>
        <v>939.8246000000001</v>
      </c>
      <c r="F89" s="85">
        <v>0.0006</v>
      </c>
      <c r="G89" s="103">
        <f>E89*F89</f>
        <v>0.56389476</v>
      </c>
      <c r="H89" s="134"/>
      <c r="I89" s="87">
        <f>E89*H89</f>
        <v>0</v>
      </c>
      <c r="J89" s="161" t="s">
        <v>372</v>
      </c>
    </row>
    <row r="90" spans="1:10" s="95" customFormat="1" ht="12" customHeight="1">
      <c r="A90" s="101" t="s">
        <v>529</v>
      </c>
      <c r="B90" s="81" t="s">
        <v>207</v>
      </c>
      <c r="C90" s="82" t="s">
        <v>208</v>
      </c>
      <c r="D90" s="83" t="s">
        <v>209</v>
      </c>
      <c r="E90" s="84">
        <f>E91</f>
        <v>32</v>
      </c>
      <c r="F90" s="85"/>
      <c r="G90" s="103"/>
      <c r="H90" s="86"/>
      <c r="I90" s="87">
        <f>E90*H90</f>
        <v>0</v>
      </c>
      <c r="J90" s="161" t="s">
        <v>127</v>
      </c>
    </row>
    <row r="91" spans="1:10" s="95" customFormat="1" ht="12" customHeight="1" hidden="1" outlineLevel="1">
      <c r="A91" s="101"/>
      <c r="B91" s="98"/>
      <c r="C91" s="114" t="s">
        <v>393</v>
      </c>
      <c r="D91" s="89"/>
      <c r="E91" s="90">
        <v>32</v>
      </c>
      <c r="F91" s="102"/>
      <c r="G91" s="103"/>
      <c r="H91" s="104"/>
      <c r="I91" s="100"/>
      <c r="J91" s="162"/>
    </row>
    <row r="92" spans="1:10" s="95" customFormat="1" ht="12" customHeight="1" collapsed="1">
      <c r="A92" s="101" t="s">
        <v>530</v>
      </c>
      <c r="B92" s="81" t="s">
        <v>210</v>
      </c>
      <c r="C92" s="82" t="s">
        <v>211</v>
      </c>
      <c r="D92" s="83" t="s">
        <v>209</v>
      </c>
      <c r="E92" s="84">
        <f>E90</f>
        <v>32</v>
      </c>
      <c r="F92" s="85"/>
      <c r="G92" s="103"/>
      <c r="H92" s="86"/>
      <c r="I92" s="87">
        <f>E92*H92</f>
        <v>0</v>
      </c>
      <c r="J92" s="162"/>
    </row>
    <row r="93" spans="1:10" ht="12" customHeight="1" collapsed="1">
      <c r="A93" s="101" t="s">
        <v>531</v>
      </c>
      <c r="B93" s="81" t="s">
        <v>212</v>
      </c>
      <c r="C93" s="82" t="s">
        <v>213</v>
      </c>
      <c r="D93" s="83" t="s">
        <v>2</v>
      </c>
      <c r="E93" s="96">
        <v>0.0344</v>
      </c>
      <c r="F93" s="85">
        <v>0</v>
      </c>
      <c r="G93" s="103">
        <f>E93*F93</f>
        <v>0</v>
      </c>
      <c r="H93" s="86"/>
      <c r="I93" s="87">
        <f>E93*H93</f>
        <v>0</v>
      </c>
      <c r="J93" s="161" t="s">
        <v>372</v>
      </c>
    </row>
    <row r="94" spans="1:10" ht="12.75" customHeight="1">
      <c r="A94" s="95"/>
      <c r="C94" s="93" t="str">
        <f>CONCATENATE(B57," celkem")</f>
        <v>712 celkem</v>
      </c>
      <c r="D94" s="69"/>
      <c r="G94" s="111">
        <f>SUBTOTAL(9,G59:G93)</f>
        <v>2.53599342</v>
      </c>
      <c r="I94" s="94">
        <f>SUBTOTAL(9,I59:I93)</f>
        <v>0</v>
      </c>
      <c r="J94" s="161"/>
    </row>
    <row r="95" spans="3:10" s="95" customFormat="1" ht="11.25">
      <c r="C95" s="115"/>
      <c r="D95" s="105"/>
      <c r="E95" s="144"/>
      <c r="F95" s="102"/>
      <c r="G95" s="111"/>
      <c r="I95" s="112"/>
      <c r="J95" s="162"/>
    </row>
    <row r="96" spans="1:10" ht="12.75" customHeight="1">
      <c r="A96" s="95"/>
      <c r="B96" s="77" t="s">
        <v>187</v>
      </c>
      <c r="C96" s="78" t="s">
        <v>188</v>
      </c>
      <c r="G96" s="111"/>
      <c r="H96" s="95"/>
      <c r="I96" s="112"/>
      <c r="J96" s="161"/>
    </row>
    <row r="97" spans="1:10" ht="6.75" customHeight="1">
      <c r="A97" s="95"/>
      <c r="B97" s="77"/>
      <c r="C97" s="78"/>
      <c r="G97" s="111"/>
      <c r="H97" s="95"/>
      <c r="I97" s="112"/>
      <c r="J97" s="161"/>
    </row>
    <row r="98" spans="1:10" ht="12.75" customHeight="1">
      <c r="A98" s="101" t="s">
        <v>532</v>
      </c>
      <c r="B98" s="91" t="s">
        <v>215</v>
      </c>
      <c r="C98" s="82" t="s">
        <v>216</v>
      </c>
      <c r="D98" s="83" t="s">
        <v>72</v>
      </c>
      <c r="E98" s="84">
        <f>SUM(E99:E100)</f>
        <v>62.671</v>
      </c>
      <c r="F98" s="85">
        <v>0</v>
      </c>
      <c r="G98" s="103">
        <f>E98*F98</f>
        <v>0</v>
      </c>
      <c r="H98" s="86"/>
      <c r="I98" s="87">
        <f>E98*H98</f>
        <v>0</v>
      </c>
      <c r="J98" s="161" t="s">
        <v>372</v>
      </c>
    </row>
    <row r="99" spans="1:10" s="95" customFormat="1" ht="12.75" customHeight="1" hidden="1" outlineLevel="1">
      <c r="A99" s="101"/>
      <c r="B99" s="98"/>
      <c r="C99" s="309" t="s">
        <v>218</v>
      </c>
      <c r="D99" s="309"/>
      <c r="E99" s="90">
        <v>0</v>
      </c>
      <c r="F99" s="102"/>
      <c r="G99" s="103"/>
      <c r="H99" s="104"/>
      <c r="I99" s="100"/>
      <c r="J99" s="162"/>
    </row>
    <row r="100" spans="1:10" s="95" customFormat="1" ht="12.75" customHeight="1" hidden="1" outlineLevel="1">
      <c r="A100" s="101"/>
      <c r="B100" s="98"/>
      <c r="C100" s="114" t="s">
        <v>381</v>
      </c>
      <c r="D100" s="89"/>
      <c r="E100" s="90">
        <f>(87.28+66.08+25.7)*0.35</f>
        <v>62.671</v>
      </c>
      <c r="F100" s="102"/>
      <c r="G100" s="103"/>
      <c r="H100" s="104"/>
      <c r="I100" s="100"/>
      <c r="J100" s="162"/>
    </row>
    <row r="101" spans="1:10" ht="12.75" customHeight="1" collapsed="1">
      <c r="A101" s="101" t="s">
        <v>533</v>
      </c>
      <c r="B101" s="92" t="s">
        <v>217</v>
      </c>
      <c r="C101" s="82" t="s">
        <v>317</v>
      </c>
      <c r="D101" s="83" t="s">
        <v>72</v>
      </c>
      <c r="E101" s="84">
        <f>E98*1.1</f>
        <v>68.9381</v>
      </c>
      <c r="F101" s="85">
        <v>0</v>
      </c>
      <c r="G101" s="103">
        <f>E101*F101</f>
        <v>0</v>
      </c>
      <c r="H101" s="134"/>
      <c r="I101" s="87">
        <f>E101*H101</f>
        <v>0</v>
      </c>
      <c r="J101" s="161" t="s">
        <v>372</v>
      </c>
    </row>
    <row r="102" spans="1:10" ht="24.75" customHeight="1" hidden="1" outlineLevel="1">
      <c r="A102" s="101"/>
      <c r="B102" s="107"/>
      <c r="C102" s="114" t="s">
        <v>394</v>
      </c>
      <c r="D102" s="147"/>
      <c r="E102" s="90">
        <v>0</v>
      </c>
      <c r="F102" s="102"/>
      <c r="G102" s="103"/>
      <c r="H102" s="104"/>
      <c r="I102" s="100"/>
      <c r="J102" s="162"/>
    </row>
    <row r="103" spans="1:10" ht="12.75" customHeight="1" hidden="1" outlineLevel="1">
      <c r="A103" s="101"/>
      <c r="B103" s="107"/>
      <c r="C103" s="114" t="s">
        <v>395</v>
      </c>
      <c r="D103" s="147"/>
      <c r="E103" s="90">
        <f>E98*1.1</f>
        <v>68.9381</v>
      </c>
      <c r="F103" s="102"/>
      <c r="G103" s="103"/>
      <c r="H103" s="104"/>
      <c r="I103" s="100"/>
      <c r="J103" s="162"/>
    </row>
    <row r="104" spans="1:10" ht="12.75" customHeight="1" collapsed="1">
      <c r="A104" s="101" t="s">
        <v>534</v>
      </c>
      <c r="B104" s="91" t="s">
        <v>215</v>
      </c>
      <c r="C104" s="82" t="s">
        <v>216</v>
      </c>
      <c r="D104" s="83" t="s">
        <v>72</v>
      </c>
      <c r="E104" s="84">
        <f>SUM(E105:E106)</f>
        <v>1.08</v>
      </c>
      <c r="F104" s="85">
        <v>0.00083</v>
      </c>
      <c r="G104" s="103">
        <f>E104*F104</f>
        <v>0.0008964000000000001</v>
      </c>
      <c r="H104" s="86"/>
      <c r="I104" s="87">
        <f>E104*H104</f>
        <v>0</v>
      </c>
      <c r="J104" s="161" t="s">
        <v>372</v>
      </c>
    </row>
    <row r="105" spans="1:10" s="95" customFormat="1" ht="12.75" customHeight="1" hidden="1" outlineLevel="1">
      <c r="A105" s="101"/>
      <c r="B105" s="98"/>
      <c r="C105" s="309" t="s">
        <v>240</v>
      </c>
      <c r="D105" s="309"/>
      <c r="E105" s="90">
        <v>0</v>
      </c>
      <c r="F105" s="102"/>
      <c r="G105" s="103"/>
      <c r="H105" s="104"/>
      <c r="I105" s="100"/>
      <c r="J105" s="162"/>
    </row>
    <row r="106" spans="1:10" s="95" customFormat="1" ht="12.75" customHeight="1" hidden="1" outlineLevel="1">
      <c r="A106" s="101"/>
      <c r="B106" s="98"/>
      <c r="C106" s="114" t="s">
        <v>396</v>
      </c>
      <c r="D106" s="89"/>
      <c r="E106" s="90">
        <f>0.6*0.6*3</f>
        <v>1.08</v>
      </c>
      <c r="F106" s="102"/>
      <c r="G106" s="103"/>
      <c r="H106" s="104"/>
      <c r="I106" s="100"/>
      <c r="J106" s="162"/>
    </row>
    <row r="107" spans="1:10" ht="12.75" customHeight="1" collapsed="1">
      <c r="A107" s="101" t="s">
        <v>535</v>
      </c>
      <c r="B107" s="92" t="s">
        <v>217</v>
      </c>
      <c r="C107" s="82" t="s">
        <v>309</v>
      </c>
      <c r="D107" s="83" t="s">
        <v>72</v>
      </c>
      <c r="E107" s="84">
        <f>E104*1.1</f>
        <v>1.1880000000000002</v>
      </c>
      <c r="F107" s="85">
        <v>0</v>
      </c>
      <c r="G107" s="103">
        <f>E107*F107</f>
        <v>0</v>
      </c>
      <c r="H107" s="134"/>
      <c r="I107" s="87">
        <f>E107*H107</f>
        <v>0</v>
      </c>
      <c r="J107" s="161" t="s">
        <v>372</v>
      </c>
    </row>
    <row r="108" spans="1:10" ht="22.5" hidden="1">
      <c r="A108" s="101"/>
      <c r="B108" s="107"/>
      <c r="C108" s="114" t="s">
        <v>239</v>
      </c>
      <c r="D108" s="89"/>
      <c r="E108" s="90">
        <v>0</v>
      </c>
      <c r="F108" s="102"/>
      <c r="G108" s="103"/>
      <c r="H108" s="104"/>
      <c r="I108" s="100"/>
      <c r="J108" s="162"/>
    </row>
    <row r="109" spans="1:10" ht="11.25" hidden="1">
      <c r="A109" s="101"/>
      <c r="B109" s="107"/>
      <c r="C109" s="114" t="s">
        <v>241</v>
      </c>
      <c r="D109" s="89"/>
      <c r="E109" s="90">
        <f>E104*1.1</f>
        <v>1.1880000000000002</v>
      </c>
      <c r="F109" s="102"/>
      <c r="G109" s="103"/>
      <c r="H109" s="104"/>
      <c r="I109" s="100"/>
      <c r="J109" s="162"/>
    </row>
    <row r="110" spans="1:10" ht="11.25">
      <c r="A110" s="105">
        <v>29</v>
      </c>
      <c r="B110" s="142" t="s">
        <v>191</v>
      </c>
      <c r="C110" s="143" t="s">
        <v>192</v>
      </c>
      <c r="D110" s="76" t="s">
        <v>2</v>
      </c>
      <c r="E110" s="141">
        <v>0.0235</v>
      </c>
      <c r="F110" s="85"/>
      <c r="G110" s="103">
        <f>E110*F110</f>
        <v>0</v>
      </c>
      <c r="H110" s="86"/>
      <c r="I110" s="87">
        <f>E110*H110</f>
        <v>0</v>
      </c>
      <c r="J110" s="161" t="s">
        <v>372</v>
      </c>
    </row>
    <row r="111" spans="1:10" ht="11.25">
      <c r="A111" s="95"/>
      <c r="C111" s="93" t="str">
        <f>CONCATENATE(B96," celkem")</f>
        <v>713 celkem</v>
      </c>
      <c r="E111" s="141"/>
      <c r="F111" s="85"/>
      <c r="G111" s="111">
        <f>SUBTOTAL(9,G96:G110)</f>
        <v>0.0008964000000000001</v>
      </c>
      <c r="I111" s="94">
        <f>SUBTOTAL(9,I98:I110)</f>
        <v>0</v>
      </c>
      <c r="J111" s="161"/>
    </row>
    <row r="112" spans="3:10" s="95" customFormat="1" ht="11.25">
      <c r="C112" s="115"/>
      <c r="D112" s="105"/>
      <c r="E112" s="144"/>
      <c r="F112" s="102"/>
      <c r="G112" s="111"/>
      <c r="I112" s="112"/>
      <c r="J112" s="162"/>
    </row>
    <row r="113" spans="1:10" ht="12.75" customHeight="1">
      <c r="A113" s="95"/>
      <c r="B113" s="77" t="s">
        <v>232</v>
      </c>
      <c r="C113" s="78" t="s">
        <v>220</v>
      </c>
      <c r="G113" s="95"/>
      <c r="J113" s="161"/>
    </row>
    <row r="114" spans="1:10" ht="5.25" customHeight="1">
      <c r="A114" s="95"/>
      <c r="G114" s="95"/>
      <c r="J114" s="161"/>
    </row>
    <row r="115" spans="1:10" s="95" customFormat="1" ht="13.5" customHeight="1">
      <c r="A115" s="101" t="s">
        <v>536</v>
      </c>
      <c r="B115" s="98" t="s">
        <v>235</v>
      </c>
      <c r="C115" s="82" t="s">
        <v>221</v>
      </c>
      <c r="D115" s="83" t="s">
        <v>94</v>
      </c>
      <c r="E115" s="84">
        <v>0</v>
      </c>
      <c r="F115" s="85">
        <v>0</v>
      </c>
      <c r="G115" s="103">
        <f>E115*F115</f>
        <v>0</v>
      </c>
      <c r="H115" s="86"/>
      <c r="I115" s="87">
        <f>E115*H115</f>
        <v>0</v>
      </c>
      <c r="J115" s="161" t="s">
        <v>127</v>
      </c>
    </row>
    <row r="116" spans="1:10" s="95" customFormat="1" ht="13.5" customHeight="1">
      <c r="A116" s="101" t="s">
        <v>537</v>
      </c>
      <c r="B116" s="98" t="s">
        <v>233</v>
      </c>
      <c r="C116" s="82" t="s">
        <v>234</v>
      </c>
      <c r="D116" s="83" t="s">
        <v>190</v>
      </c>
      <c r="E116" s="84">
        <v>3</v>
      </c>
      <c r="F116" s="85">
        <v>0.02011</v>
      </c>
      <c r="G116" s="103">
        <f>E116*F116</f>
        <v>0.060329999999999995</v>
      </c>
      <c r="H116" s="86"/>
      <c r="I116" s="87">
        <f>E116*H116</f>
        <v>0</v>
      </c>
      <c r="J116" s="161" t="s">
        <v>372</v>
      </c>
    </row>
    <row r="117" spans="1:10" s="95" customFormat="1" ht="13.5" customHeight="1">
      <c r="A117" s="101" t="s">
        <v>538</v>
      </c>
      <c r="B117" s="98" t="s">
        <v>236</v>
      </c>
      <c r="C117" s="82" t="s">
        <v>237</v>
      </c>
      <c r="D117" s="83" t="s">
        <v>190</v>
      </c>
      <c r="E117" s="84">
        <v>3</v>
      </c>
      <c r="F117" s="85">
        <v>0.00391</v>
      </c>
      <c r="G117" s="103">
        <f>E117*F117</f>
        <v>0.01173</v>
      </c>
      <c r="H117" s="86"/>
      <c r="I117" s="87">
        <f>E117*H117</f>
        <v>0</v>
      </c>
      <c r="J117" s="161" t="s">
        <v>372</v>
      </c>
    </row>
    <row r="118" spans="1:10" s="95" customFormat="1" ht="13.5" customHeight="1">
      <c r="A118" s="101" t="s">
        <v>539</v>
      </c>
      <c r="B118" s="98" t="s">
        <v>242</v>
      </c>
      <c r="C118" s="82" t="s">
        <v>238</v>
      </c>
      <c r="D118" s="83" t="s">
        <v>190</v>
      </c>
      <c r="E118" s="84">
        <f>E119</f>
        <v>3</v>
      </c>
      <c r="F118" s="85">
        <v>0.00391</v>
      </c>
      <c r="G118" s="103">
        <f>E118*F118</f>
        <v>0.01173</v>
      </c>
      <c r="H118" s="86"/>
      <c r="I118" s="87">
        <f>E118*H118</f>
        <v>0</v>
      </c>
      <c r="J118" s="161" t="s">
        <v>372</v>
      </c>
    </row>
    <row r="119" spans="1:10" s="95" customFormat="1" ht="24" customHeight="1" hidden="1" outlineLevel="1">
      <c r="A119" s="101"/>
      <c r="B119" s="98"/>
      <c r="C119" s="114" t="s">
        <v>281</v>
      </c>
      <c r="D119" s="89"/>
      <c r="E119" s="90">
        <v>3</v>
      </c>
      <c r="F119" s="85"/>
      <c r="G119" s="103"/>
      <c r="H119" s="86"/>
      <c r="I119" s="100"/>
      <c r="J119" s="162"/>
    </row>
    <row r="120" spans="1:10" ht="12.75" customHeight="1" collapsed="1">
      <c r="A120" s="101" t="s">
        <v>540</v>
      </c>
      <c r="B120" s="81" t="s">
        <v>222</v>
      </c>
      <c r="C120" s="82" t="s">
        <v>223</v>
      </c>
      <c r="D120" s="83" t="s">
        <v>2</v>
      </c>
      <c r="E120" s="96">
        <v>0.019</v>
      </c>
      <c r="F120" s="85">
        <v>0</v>
      </c>
      <c r="G120" s="103">
        <f>E120*F120</f>
        <v>0</v>
      </c>
      <c r="H120" s="86"/>
      <c r="I120" s="87">
        <f>E120*H120</f>
        <v>0</v>
      </c>
      <c r="J120" s="161" t="s">
        <v>372</v>
      </c>
    </row>
    <row r="121" spans="1:10" ht="12.75" customHeight="1">
      <c r="A121" s="95"/>
      <c r="C121" s="93" t="str">
        <f>CONCATENATE(B113," celkem")</f>
        <v>721 celkem</v>
      </c>
      <c r="G121" s="111">
        <f>SUBTOTAL(9,G115:G120)</f>
        <v>0.08379</v>
      </c>
      <c r="I121" s="94">
        <f>SUBTOTAL(9,I115:I120)</f>
        <v>0</v>
      </c>
      <c r="J121" s="161"/>
    </row>
    <row r="122" spans="3:10" s="95" customFormat="1" ht="12.75" customHeight="1">
      <c r="C122" s="115"/>
      <c r="G122" s="111"/>
      <c r="I122" s="112"/>
      <c r="J122" s="162"/>
    </row>
    <row r="123" spans="1:10" ht="12.75" customHeight="1">
      <c r="A123" s="95"/>
      <c r="B123" s="77" t="s">
        <v>224</v>
      </c>
      <c r="C123" s="78" t="s">
        <v>225</v>
      </c>
      <c r="D123" s="69"/>
      <c r="G123" s="95"/>
      <c r="J123" s="161"/>
    </row>
    <row r="124" spans="1:10" ht="6" customHeight="1">
      <c r="A124" s="95"/>
      <c r="D124" s="69"/>
      <c r="G124" s="95"/>
      <c r="J124" s="161"/>
    </row>
    <row r="125" spans="1:10" ht="12" customHeight="1">
      <c r="A125" s="101" t="s">
        <v>541</v>
      </c>
      <c r="B125" s="81" t="s">
        <v>397</v>
      </c>
      <c r="C125" s="82" t="s">
        <v>398</v>
      </c>
      <c r="D125" s="83" t="s">
        <v>72</v>
      </c>
      <c r="E125" s="84">
        <f>SUM(E126:E128)</f>
        <v>123.54599999999999</v>
      </c>
      <c r="F125" s="85">
        <v>2E-05</v>
      </c>
      <c r="G125" s="103">
        <f>E125*F125</f>
        <v>0.00247092</v>
      </c>
      <c r="H125" s="86"/>
      <c r="I125" s="87">
        <f>E125*H125</f>
        <v>0</v>
      </c>
      <c r="J125" s="161" t="s">
        <v>372</v>
      </c>
    </row>
    <row r="126" spans="1:10" s="95" customFormat="1" ht="12" customHeight="1" hidden="1" outlineLevel="1">
      <c r="A126" s="101"/>
      <c r="B126" s="98"/>
      <c r="C126" s="114" t="s">
        <v>226</v>
      </c>
      <c r="D126" s="89"/>
      <c r="E126" s="90">
        <v>0</v>
      </c>
      <c r="F126" s="102"/>
      <c r="G126" s="103"/>
      <c r="H126" s="104"/>
      <c r="I126" s="100"/>
      <c r="J126" s="162"/>
    </row>
    <row r="127" spans="1:10" s="95" customFormat="1" ht="12" customHeight="1" hidden="1" outlineLevel="1">
      <c r="A127" s="101"/>
      <c r="B127" s="98"/>
      <c r="C127" s="114" t="s">
        <v>399</v>
      </c>
      <c r="D127" s="89"/>
      <c r="E127" s="90">
        <f>(87.28+66.08+25.7)*0.3</f>
        <v>53.717999999999996</v>
      </c>
      <c r="F127" s="102"/>
      <c r="G127" s="103"/>
      <c r="H127" s="104"/>
      <c r="I127" s="100"/>
      <c r="J127" s="162"/>
    </row>
    <row r="128" spans="1:10" s="95" customFormat="1" ht="12" customHeight="1" hidden="1" outlineLevel="1">
      <c r="A128" s="101"/>
      <c r="B128" s="98"/>
      <c r="C128" s="114" t="s">
        <v>400</v>
      </c>
      <c r="D128" s="89"/>
      <c r="E128" s="90">
        <f>1.2*(25.34+7.35*2+18.15)</f>
        <v>69.82799999999999</v>
      </c>
      <c r="F128" s="102"/>
      <c r="G128" s="103"/>
      <c r="H128" s="104"/>
      <c r="I128" s="100"/>
      <c r="J128" s="162"/>
    </row>
    <row r="129" spans="1:10" ht="12" customHeight="1" collapsed="1">
      <c r="A129" s="101" t="s">
        <v>542</v>
      </c>
      <c r="B129" s="92" t="s">
        <v>227</v>
      </c>
      <c r="C129" s="82" t="s">
        <v>228</v>
      </c>
      <c r="D129" s="83" t="s">
        <v>72</v>
      </c>
      <c r="E129" s="84">
        <f>E131</f>
        <v>129.7233</v>
      </c>
      <c r="F129" s="85">
        <v>0.015</v>
      </c>
      <c r="G129" s="103">
        <f>E129*F129</f>
        <v>1.9458494999999998</v>
      </c>
      <c r="H129" s="86"/>
      <c r="I129" s="87">
        <f>E129*H129</f>
        <v>0</v>
      </c>
      <c r="J129" s="161" t="s">
        <v>372</v>
      </c>
    </row>
    <row r="130" spans="1:10" ht="24.75" customHeight="1" hidden="1" outlineLevel="1">
      <c r="A130" s="101"/>
      <c r="B130" s="92"/>
      <c r="C130" s="152" t="s">
        <v>229</v>
      </c>
      <c r="D130" s="153"/>
      <c r="E130" s="90">
        <v>0</v>
      </c>
      <c r="F130" s="85"/>
      <c r="G130" s="103"/>
      <c r="H130" s="86"/>
      <c r="I130" s="100"/>
      <c r="J130" s="161"/>
    </row>
    <row r="131" spans="1:10" s="95" customFormat="1" ht="12" customHeight="1" hidden="1" outlineLevel="1">
      <c r="A131" s="101"/>
      <c r="B131" s="137"/>
      <c r="C131" s="150" t="s">
        <v>401</v>
      </c>
      <c r="D131" s="153"/>
      <c r="E131" s="90">
        <f>E125*1.05</f>
        <v>129.7233</v>
      </c>
      <c r="F131" s="102"/>
      <c r="G131" s="103"/>
      <c r="H131" s="104"/>
      <c r="I131" s="100"/>
      <c r="J131" s="162"/>
    </row>
    <row r="132" spans="1:10" ht="12" customHeight="1" collapsed="1">
      <c r="A132" s="101" t="s">
        <v>543</v>
      </c>
      <c r="B132" s="81" t="s">
        <v>230</v>
      </c>
      <c r="C132" s="82" t="s">
        <v>231</v>
      </c>
      <c r="D132" s="83" t="s">
        <v>2</v>
      </c>
      <c r="E132" s="96">
        <v>0.071</v>
      </c>
      <c r="F132" s="85">
        <v>0</v>
      </c>
      <c r="G132" s="103">
        <f>E132*F132</f>
        <v>0</v>
      </c>
      <c r="H132" s="86"/>
      <c r="I132" s="87">
        <f>E132*H132</f>
        <v>0</v>
      </c>
      <c r="J132" s="161" t="s">
        <v>372</v>
      </c>
    </row>
    <row r="133" spans="1:10" ht="12.75" customHeight="1">
      <c r="A133" s="95"/>
      <c r="C133" s="93" t="str">
        <f>CONCATENATE(B123," celkem")</f>
        <v>762 celkem</v>
      </c>
      <c r="D133" s="69"/>
      <c r="G133" s="111">
        <f>SUBTOTAL(9,G125:G132)</f>
        <v>1.9483204199999997</v>
      </c>
      <c r="I133" s="94">
        <f>SUBTOTAL(9,I125:I132)</f>
        <v>0</v>
      </c>
      <c r="J133" s="161"/>
    </row>
    <row r="134" spans="3:10" s="95" customFormat="1" ht="12.75" customHeight="1">
      <c r="C134" s="115"/>
      <c r="G134" s="111"/>
      <c r="I134" s="112"/>
      <c r="J134" s="162"/>
    </row>
    <row r="135" spans="1:10" ht="12.75" customHeight="1">
      <c r="A135" s="95"/>
      <c r="B135" s="77" t="s">
        <v>145</v>
      </c>
      <c r="C135" s="78" t="s">
        <v>146</v>
      </c>
      <c r="D135" s="69"/>
      <c r="G135" s="95"/>
      <c r="J135" s="161"/>
    </row>
    <row r="136" spans="1:10" ht="6" customHeight="1">
      <c r="A136" s="95"/>
      <c r="D136" s="69"/>
      <c r="G136" s="95"/>
      <c r="J136" s="161"/>
    </row>
    <row r="137" spans="1:10" s="95" customFormat="1" ht="12.75" customHeight="1">
      <c r="A137" s="101" t="s">
        <v>544</v>
      </c>
      <c r="B137" s="69" t="s">
        <v>413</v>
      </c>
      <c r="C137" s="154" t="s">
        <v>412</v>
      </c>
      <c r="D137" s="76" t="s">
        <v>209</v>
      </c>
      <c r="E137" s="84">
        <f>SUM(E138:E138)</f>
        <v>1</v>
      </c>
      <c r="F137" s="85">
        <v>0.00448</v>
      </c>
      <c r="G137" s="103">
        <f>E137*F137</f>
        <v>0.00448</v>
      </c>
      <c r="H137" s="86"/>
      <c r="I137" s="87">
        <f>E137*H137</f>
        <v>0</v>
      </c>
      <c r="J137" s="161" t="s">
        <v>372</v>
      </c>
    </row>
    <row r="138" spans="1:10" s="95" customFormat="1" ht="11.25" customHeight="1" hidden="1" outlineLevel="1">
      <c r="A138" s="101"/>
      <c r="B138" s="98"/>
      <c r="C138" s="114" t="s">
        <v>378</v>
      </c>
      <c r="D138" s="147"/>
      <c r="E138" s="90">
        <v>1</v>
      </c>
      <c r="F138" s="102"/>
      <c r="G138" s="103"/>
      <c r="H138" s="104"/>
      <c r="I138" s="100"/>
      <c r="J138" s="162"/>
    </row>
    <row r="139" spans="1:10" s="95" customFormat="1" ht="11.25" collapsed="1">
      <c r="A139" s="101" t="s">
        <v>548</v>
      </c>
      <c r="B139" s="69" t="s">
        <v>414</v>
      </c>
      <c r="C139" s="154" t="s">
        <v>415</v>
      </c>
      <c r="D139" s="76" t="s">
        <v>75</v>
      </c>
      <c r="E139" s="84">
        <f>E140</f>
        <v>3.6</v>
      </c>
      <c r="F139" s="85">
        <v>0.00135</v>
      </c>
      <c r="G139" s="103">
        <f>E139*F139</f>
        <v>0.004860000000000001</v>
      </c>
      <c r="H139" s="86"/>
      <c r="I139" s="87">
        <f>E139*H139</f>
        <v>0</v>
      </c>
      <c r="J139" s="161" t="s">
        <v>372</v>
      </c>
    </row>
    <row r="140" spans="1:10" s="95" customFormat="1" ht="11.25" customHeight="1" hidden="1" outlineLevel="1">
      <c r="A140" s="101"/>
      <c r="B140" s="98"/>
      <c r="C140" s="114" t="s">
        <v>411</v>
      </c>
      <c r="D140" s="147"/>
      <c r="E140" s="90">
        <v>3.6</v>
      </c>
      <c r="F140" s="102"/>
      <c r="G140" s="103"/>
      <c r="H140" s="104"/>
      <c r="I140" s="100"/>
      <c r="J140" s="162"/>
    </row>
    <row r="141" spans="1:10" s="95" customFormat="1" ht="12.75" customHeight="1" collapsed="1">
      <c r="A141" s="101" t="s">
        <v>549</v>
      </c>
      <c r="B141" s="69" t="s">
        <v>245</v>
      </c>
      <c r="C141" s="154" t="s">
        <v>246</v>
      </c>
      <c r="D141" s="76" t="s">
        <v>75</v>
      </c>
      <c r="E141" s="84">
        <f>SUM(E142:E143)</f>
        <v>69.82799999999999</v>
      </c>
      <c r="F141" s="85">
        <v>0.00742</v>
      </c>
      <c r="G141" s="103">
        <f>E141*F141</f>
        <v>0.5181237599999999</v>
      </c>
      <c r="H141" s="86"/>
      <c r="I141" s="87">
        <f>E141*H141</f>
        <v>0</v>
      </c>
      <c r="J141" s="161" t="s">
        <v>372</v>
      </c>
    </row>
    <row r="142" spans="1:10" s="95" customFormat="1" ht="11.25" customHeight="1" hidden="1" outlineLevel="1">
      <c r="A142" s="101"/>
      <c r="B142" s="98"/>
      <c r="C142" s="114" t="s">
        <v>417</v>
      </c>
      <c r="D142" s="147"/>
      <c r="E142" s="90">
        <v>0</v>
      </c>
      <c r="F142" s="102"/>
      <c r="G142" s="103"/>
      <c r="H142" s="104"/>
      <c r="I142" s="100"/>
      <c r="J142" s="162"/>
    </row>
    <row r="143" spans="1:10" s="95" customFormat="1" ht="11.25" customHeight="1" hidden="1" outlineLevel="1">
      <c r="A143" s="101"/>
      <c r="B143" s="169"/>
      <c r="C143" s="114" t="s">
        <v>416</v>
      </c>
      <c r="D143" s="97"/>
      <c r="E143" s="90">
        <f>1.2*(25.34+7.35*2+18.15)</f>
        <v>69.82799999999999</v>
      </c>
      <c r="F143" s="102"/>
      <c r="G143" s="103"/>
      <c r="H143" s="104"/>
      <c r="I143" s="100"/>
      <c r="J143" s="162"/>
    </row>
    <row r="144" spans="1:10" ht="12.75" customHeight="1" collapsed="1">
      <c r="A144" s="101" t="s">
        <v>545</v>
      </c>
      <c r="B144" s="81" t="s">
        <v>418</v>
      </c>
      <c r="C144" s="82" t="s">
        <v>243</v>
      </c>
      <c r="D144" s="83" t="s">
        <v>75</v>
      </c>
      <c r="E144" s="84">
        <f>SUM(E145:E148)</f>
        <v>179.06</v>
      </c>
      <c r="F144" s="85">
        <v>0.0023</v>
      </c>
      <c r="G144" s="103">
        <f>E144*F144</f>
        <v>0.411838</v>
      </c>
      <c r="H144" s="86"/>
      <c r="I144" s="87">
        <f>E144*H144</f>
        <v>0</v>
      </c>
      <c r="J144" s="161" t="s">
        <v>372</v>
      </c>
    </row>
    <row r="145" spans="1:10" s="95" customFormat="1" ht="11.25" customHeight="1" hidden="1" outlineLevel="1">
      <c r="A145" s="101"/>
      <c r="B145" s="98"/>
      <c r="C145" s="114" t="s">
        <v>244</v>
      </c>
      <c r="D145" s="147"/>
      <c r="E145" s="90">
        <v>0</v>
      </c>
      <c r="F145" s="102"/>
      <c r="G145" s="103"/>
      <c r="H145" s="104"/>
      <c r="I145" s="100"/>
      <c r="J145" s="162"/>
    </row>
    <row r="146" spans="1:10" s="95" customFormat="1" ht="11.25" customHeight="1" hidden="1" outlineLevel="1">
      <c r="A146" s="101"/>
      <c r="B146" s="98"/>
      <c r="C146" s="114" t="s">
        <v>226</v>
      </c>
      <c r="D146" s="89"/>
      <c r="E146" s="90">
        <v>0</v>
      </c>
      <c r="F146" s="102"/>
      <c r="G146" s="103"/>
      <c r="H146" s="104"/>
      <c r="I146" s="100"/>
      <c r="J146" s="162"/>
    </row>
    <row r="147" spans="1:10" s="95" customFormat="1" ht="11.25" customHeight="1" hidden="1" outlineLevel="1">
      <c r="A147" s="101"/>
      <c r="B147" s="98"/>
      <c r="C147" s="114" t="s">
        <v>386</v>
      </c>
      <c r="D147" s="89"/>
      <c r="E147" s="90">
        <f>87.28+66.08+25.7</f>
        <v>179.06</v>
      </c>
      <c r="F147" s="102"/>
      <c r="G147" s="103"/>
      <c r="H147" s="104"/>
      <c r="I147" s="100"/>
      <c r="J147" s="162"/>
    </row>
    <row r="148" spans="1:10" s="95" customFormat="1" ht="11.25" customHeight="1" hidden="1" outlineLevel="1">
      <c r="A148" s="101"/>
      <c r="B148" s="98"/>
      <c r="C148" s="114" t="s">
        <v>247</v>
      </c>
      <c r="D148" s="89"/>
      <c r="E148" s="90">
        <v>0</v>
      </c>
      <c r="F148" s="102"/>
      <c r="G148" s="103"/>
      <c r="H148" s="104"/>
      <c r="I148" s="100"/>
      <c r="J148" s="162"/>
    </row>
    <row r="149" spans="1:10" s="95" customFormat="1" ht="11.25" collapsed="1">
      <c r="A149" s="101" t="s">
        <v>546</v>
      </c>
      <c r="B149" s="69" t="s">
        <v>283</v>
      </c>
      <c r="C149" s="154" t="s">
        <v>284</v>
      </c>
      <c r="D149" s="76" t="s">
        <v>190</v>
      </c>
      <c r="E149" s="84">
        <f>SUM(E150:E150)</f>
        <v>16</v>
      </c>
      <c r="F149" s="85">
        <v>5E-05</v>
      </c>
      <c r="G149" s="103">
        <f>E149*F149</f>
        <v>0.0008</v>
      </c>
      <c r="H149" s="86"/>
      <c r="I149" s="87">
        <f>E149*H149</f>
        <v>0</v>
      </c>
      <c r="J149" s="161" t="s">
        <v>372</v>
      </c>
    </row>
    <row r="150" spans="1:10" s="95" customFormat="1" ht="11.25" customHeight="1" hidden="1" outlineLevel="1">
      <c r="A150" s="101"/>
      <c r="B150" s="98"/>
      <c r="C150" s="114" t="s">
        <v>420</v>
      </c>
      <c r="D150" s="147"/>
      <c r="E150" s="90">
        <v>16</v>
      </c>
      <c r="F150" s="102"/>
      <c r="G150" s="103"/>
      <c r="H150" s="104"/>
      <c r="I150" s="100"/>
      <c r="J150" s="162"/>
    </row>
    <row r="151" spans="1:10" s="95" customFormat="1" ht="11.25" collapsed="1">
      <c r="A151" s="101" t="s">
        <v>547</v>
      </c>
      <c r="B151" s="159" t="s">
        <v>285</v>
      </c>
      <c r="C151" s="154" t="s">
        <v>286</v>
      </c>
      <c r="D151" s="76" t="s">
        <v>190</v>
      </c>
      <c r="E151" s="84">
        <f>SUM(E152)</f>
        <v>16</v>
      </c>
      <c r="F151" s="85">
        <v>5E-05</v>
      </c>
      <c r="G151" s="103">
        <f>E151*F151</f>
        <v>0.0008</v>
      </c>
      <c r="H151" s="86"/>
      <c r="I151" s="87">
        <f>E151*H151</f>
        <v>0</v>
      </c>
      <c r="J151" s="161" t="s">
        <v>372</v>
      </c>
    </row>
    <row r="152" spans="1:10" s="95" customFormat="1" ht="11.25" customHeight="1" hidden="1" outlineLevel="1">
      <c r="A152" s="101"/>
      <c r="B152" s="98"/>
      <c r="C152" s="114" t="s">
        <v>420</v>
      </c>
      <c r="D152" s="147"/>
      <c r="E152" s="90">
        <v>16</v>
      </c>
      <c r="F152" s="102"/>
      <c r="G152" s="103"/>
      <c r="H152" s="104"/>
      <c r="I152" s="100"/>
      <c r="J152" s="162"/>
    </row>
    <row r="153" spans="1:10" s="95" customFormat="1" ht="11.25" collapsed="1">
      <c r="A153" s="174" t="s">
        <v>550</v>
      </c>
      <c r="B153" s="69" t="s">
        <v>282</v>
      </c>
      <c r="C153" s="154" t="s">
        <v>422</v>
      </c>
      <c r="D153" s="76" t="s">
        <v>75</v>
      </c>
      <c r="E153" s="84">
        <f>SUM(E154:E155)</f>
        <v>21.6</v>
      </c>
      <c r="F153" s="85">
        <v>0.00028</v>
      </c>
      <c r="G153" s="103">
        <f>E153*F153</f>
        <v>0.0060479999999999996</v>
      </c>
      <c r="H153" s="86"/>
      <c r="I153" s="87">
        <f>E153*H153</f>
        <v>0</v>
      </c>
      <c r="J153" s="161" t="s">
        <v>372</v>
      </c>
    </row>
    <row r="154" spans="1:10" s="95" customFormat="1" ht="11.25" customHeight="1" hidden="1" outlineLevel="1">
      <c r="A154" s="101"/>
      <c r="B154" s="98"/>
      <c r="C154" s="114" t="s">
        <v>419</v>
      </c>
      <c r="D154" s="147"/>
      <c r="E154" s="90">
        <v>0</v>
      </c>
      <c r="F154" s="102"/>
      <c r="G154" s="103"/>
      <c r="H154" s="104"/>
      <c r="I154" s="100"/>
      <c r="J154" s="161"/>
    </row>
    <row r="155" spans="1:10" s="95" customFormat="1" ht="11.25" customHeight="1" hidden="1" outlineLevel="1">
      <c r="A155" s="101"/>
      <c r="B155" s="98"/>
      <c r="C155" s="114" t="s">
        <v>607</v>
      </c>
      <c r="D155" s="147"/>
      <c r="E155" s="90">
        <f>2*(3.6+1.8)*2</f>
        <v>21.6</v>
      </c>
      <c r="F155" s="102"/>
      <c r="G155" s="103"/>
      <c r="H155" s="104"/>
      <c r="I155" s="100"/>
      <c r="J155" s="161"/>
    </row>
    <row r="156" spans="1:10" s="95" customFormat="1" ht="11.25" collapsed="1">
      <c r="A156" s="101" t="s">
        <v>551</v>
      </c>
      <c r="B156" s="69" t="s">
        <v>423</v>
      </c>
      <c r="C156" s="154" t="s">
        <v>424</v>
      </c>
      <c r="D156" s="76" t="s">
        <v>190</v>
      </c>
      <c r="E156" s="84">
        <f>SUM(E157:E158)</f>
        <v>4</v>
      </c>
      <c r="F156" s="85">
        <v>0.00028</v>
      </c>
      <c r="G156" s="103">
        <f>E156*F156</f>
        <v>0.00112</v>
      </c>
      <c r="H156" s="86"/>
      <c r="I156" s="87">
        <f>E156*H156</f>
        <v>0</v>
      </c>
      <c r="J156" s="161" t="s">
        <v>372</v>
      </c>
    </row>
    <row r="157" spans="1:10" s="95" customFormat="1" ht="11.25" customHeight="1" hidden="1" outlineLevel="1">
      <c r="A157" s="101"/>
      <c r="B157" s="98"/>
      <c r="C157" s="114" t="s">
        <v>419</v>
      </c>
      <c r="D157" s="147"/>
      <c r="E157" s="90">
        <v>0</v>
      </c>
      <c r="F157" s="102"/>
      <c r="G157" s="103"/>
      <c r="H157" s="104"/>
      <c r="I157" s="100"/>
      <c r="J157" s="161"/>
    </row>
    <row r="158" spans="1:10" s="95" customFormat="1" ht="11.25" customHeight="1" hidden="1" outlineLevel="1">
      <c r="A158" s="101"/>
      <c r="B158" s="98"/>
      <c r="C158" s="114" t="s">
        <v>421</v>
      </c>
      <c r="D158" s="147"/>
      <c r="E158" s="90">
        <v>4</v>
      </c>
      <c r="F158" s="102"/>
      <c r="G158" s="103"/>
      <c r="H158" s="104"/>
      <c r="I158" s="100"/>
      <c r="J158" s="161"/>
    </row>
    <row r="159" spans="1:10" s="95" customFormat="1" ht="11.25" collapsed="1">
      <c r="A159" s="101" t="s">
        <v>341</v>
      </c>
      <c r="B159" s="69" t="s">
        <v>287</v>
      </c>
      <c r="C159" s="154" t="s">
        <v>300</v>
      </c>
      <c r="D159" s="76" t="s">
        <v>190</v>
      </c>
      <c r="E159" s="84">
        <f>SUM(E160:E161)</f>
        <v>4</v>
      </c>
      <c r="F159" s="85">
        <v>0.00028</v>
      </c>
      <c r="G159" s="103">
        <f>E159*F159</f>
        <v>0.00112</v>
      </c>
      <c r="H159" s="86"/>
      <c r="I159" s="87">
        <f>E159*H159</f>
        <v>0</v>
      </c>
      <c r="J159" s="161" t="s">
        <v>372</v>
      </c>
    </row>
    <row r="160" spans="1:10" s="95" customFormat="1" ht="12" customHeight="1" hidden="1" outlineLevel="1">
      <c r="A160" s="101"/>
      <c r="B160" s="98"/>
      <c r="C160" s="114" t="s">
        <v>419</v>
      </c>
      <c r="D160" s="147"/>
      <c r="E160" s="90">
        <v>0</v>
      </c>
      <c r="F160" s="102"/>
      <c r="G160" s="103"/>
      <c r="H160" s="104"/>
      <c r="I160" s="100"/>
      <c r="J160" s="161"/>
    </row>
    <row r="161" spans="1:10" s="95" customFormat="1" ht="12.75" customHeight="1" hidden="1" outlineLevel="1">
      <c r="A161" s="101"/>
      <c r="B161" s="98"/>
      <c r="C161" s="114" t="s">
        <v>421</v>
      </c>
      <c r="D161" s="147"/>
      <c r="E161" s="90">
        <v>4</v>
      </c>
      <c r="F161" s="102"/>
      <c r="G161" s="103"/>
      <c r="H161" s="104"/>
      <c r="I161" s="100"/>
      <c r="J161" s="161"/>
    </row>
    <row r="162" spans="1:10" s="95" customFormat="1" ht="11.25" collapsed="1">
      <c r="A162" s="101" t="s">
        <v>552</v>
      </c>
      <c r="B162" s="69" t="s">
        <v>425</v>
      </c>
      <c r="C162" s="154" t="s">
        <v>426</v>
      </c>
      <c r="D162" s="76" t="s">
        <v>190</v>
      </c>
      <c r="E162" s="84">
        <f>SUM(E163:E163)</f>
        <v>1</v>
      </c>
      <c r="F162" s="85">
        <v>0.00028</v>
      </c>
      <c r="G162" s="103">
        <f>E162*F162</f>
        <v>0.00028</v>
      </c>
      <c r="H162" s="86"/>
      <c r="I162" s="87">
        <f>E162*H162</f>
        <v>0</v>
      </c>
      <c r="J162" s="161" t="s">
        <v>372</v>
      </c>
    </row>
    <row r="163" spans="1:10" s="95" customFormat="1" ht="12" customHeight="1" hidden="1" outlineLevel="1">
      <c r="A163" s="101"/>
      <c r="B163" s="98"/>
      <c r="C163" s="114" t="s">
        <v>193</v>
      </c>
      <c r="D163" s="147"/>
      <c r="E163" s="90">
        <v>1</v>
      </c>
      <c r="F163" s="102"/>
      <c r="G163" s="103"/>
      <c r="H163" s="104"/>
      <c r="I163" s="100"/>
      <c r="J163" s="161"/>
    </row>
    <row r="164" spans="1:10" s="95" customFormat="1" ht="11.25" collapsed="1">
      <c r="A164" s="101" t="s">
        <v>553</v>
      </c>
      <c r="B164" s="69" t="s">
        <v>288</v>
      </c>
      <c r="C164" s="154" t="s">
        <v>301</v>
      </c>
      <c r="D164" s="76" t="s">
        <v>190</v>
      </c>
      <c r="E164" s="84">
        <f>SUM(E165:E166)</f>
        <v>12</v>
      </c>
      <c r="F164" s="85">
        <v>0.00046</v>
      </c>
      <c r="G164" s="103">
        <f>E164*F164</f>
        <v>0.005520000000000001</v>
      </c>
      <c r="H164" s="86"/>
      <c r="I164" s="87">
        <f>E164*H164</f>
        <v>0</v>
      </c>
      <c r="J164" s="161" t="s">
        <v>372</v>
      </c>
    </row>
    <row r="165" spans="1:10" s="95" customFormat="1" ht="11.25" customHeight="1" hidden="1" outlineLevel="1">
      <c r="A165" s="101"/>
      <c r="B165" s="98"/>
      <c r="C165" s="114" t="s">
        <v>419</v>
      </c>
      <c r="D165" s="147"/>
      <c r="E165" s="90">
        <v>0</v>
      </c>
      <c r="F165" s="102"/>
      <c r="G165" s="103"/>
      <c r="H165" s="104"/>
      <c r="I165" s="100"/>
      <c r="J165" s="161"/>
    </row>
    <row r="166" spans="1:10" s="95" customFormat="1" ht="11.25" customHeight="1" hidden="1" outlineLevel="1">
      <c r="A166" s="101"/>
      <c r="B166" s="98"/>
      <c r="C166" s="114" t="s">
        <v>427</v>
      </c>
      <c r="D166" s="147"/>
      <c r="E166" s="90">
        <v>12</v>
      </c>
      <c r="F166" s="102"/>
      <c r="G166" s="103"/>
      <c r="H166" s="104"/>
      <c r="I166" s="100"/>
      <c r="J166" s="161"/>
    </row>
    <row r="167" spans="1:10" s="95" customFormat="1" ht="11.25" collapsed="1">
      <c r="A167" s="101" t="s">
        <v>554</v>
      </c>
      <c r="B167" s="69" t="s">
        <v>429</v>
      </c>
      <c r="C167" s="154" t="s">
        <v>302</v>
      </c>
      <c r="D167" s="76" t="s">
        <v>75</v>
      </c>
      <c r="E167" s="84">
        <f>SUM(E168:E169)</f>
        <v>22.4</v>
      </c>
      <c r="F167" s="85">
        <v>0.00028</v>
      </c>
      <c r="G167" s="103">
        <f>E167*F167</f>
        <v>0.006271999999999999</v>
      </c>
      <c r="H167" s="86"/>
      <c r="I167" s="87">
        <f>E167*H167</f>
        <v>0</v>
      </c>
      <c r="J167" s="161" t="s">
        <v>372</v>
      </c>
    </row>
    <row r="168" spans="1:10" s="95" customFormat="1" ht="11.25" customHeight="1" hidden="1" outlineLevel="1">
      <c r="A168" s="101"/>
      <c r="B168" s="98"/>
      <c r="C168" s="114" t="s">
        <v>419</v>
      </c>
      <c r="D168" s="147"/>
      <c r="E168" s="90">
        <v>0</v>
      </c>
      <c r="F168" s="102"/>
      <c r="G168" s="103"/>
      <c r="H168" s="104"/>
      <c r="I168" s="100"/>
      <c r="J168" s="162"/>
    </row>
    <row r="169" spans="1:10" s="95" customFormat="1" ht="11.25" customHeight="1" hidden="1" outlineLevel="1">
      <c r="A169" s="101"/>
      <c r="B169" s="98"/>
      <c r="C169" s="114" t="s">
        <v>428</v>
      </c>
      <c r="D169" s="147"/>
      <c r="E169" s="90">
        <f>4*(4.5+1.1)</f>
        <v>22.4</v>
      </c>
      <c r="F169" s="102"/>
      <c r="G169" s="103"/>
      <c r="H169" s="104"/>
      <c r="I169" s="100"/>
      <c r="J169" s="162"/>
    </row>
    <row r="170" spans="1:10" s="95" customFormat="1" ht="11.25" collapsed="1">
      <c r="A170" s="101" t="s">
        <v>555</v>
      </c>
      <c r="B170" s="69" t="s">
        <v>430</v>
      </c>
      <c r="C170" s="154" t="s">
        <v>431</v>
      </c>
      <c r="D170" s="76" t="s">
        <v>75</v>
      </c>
      <c r="E170" s="84">
        <f>SUM(E171:E171)</f>
        <v>3.6</v>
      </c>
      <c r="F170" s="85">
        <v>0.00028</v>
      </c>
      <c r="G170" s="103">
        <f>E170*F170</f>
        <v>0.001008</v>
      </c>
      <c r="H170" s="86"/>
      <c r="I170" s="87">
        <f>E170*H170</f>
        <v>0</v>
      </c>
      <c r="J170" s="161" t="s">
        <v>372</v>
      </c>
    </row>
    <row r="171" spans="1:10" s="95" customFormat="1" ht="11.25" customHeight="1" hidden="1" outlineLevel="1">
      <c r="A171" s="101"/>
      <c r="B171" s="98"/>
      <c r="C171" s="114" t="s">
        <v>193</v>
      </c>
      <c r="D171" s="147"/>
      <c r="E171" s="90">
        <v>3.6</v>
      </c>
      <c r="F171" s="102"/>
      <c r="G171" s="103"/>
      <c r="H171" s="104"/>
      <c r="I171" s="100"/>
      <c r="J171" s="162"/>
    </row>
    <row r="172" spans="1:10" ht="12.75" customHeight="1" collapsed="1">
      <c r="A172" s="101" t="s">
        <v>556</v>
      </c>
      <c r="B172" s="81" t="s">
        <v>147</v>
      </c>
      <c r="C172" s="82" t="s">
        <v>148</v>
      </c>
      <c r="D172" s="83" t="s">
        <v>2</v>
      </c>
      <c r="E172" s="96">
        <v>0.02</v>
      </c>
      <c r="F172" s="85">
        <v>0</v>
      </c>
      <c r="G172" s="103">
        <f>E172*F172</f>
        <v>0</v>
      </c>
      <c r="H172" s="86"/>
      <c r="I172" s="87">
        <f>E172*H172</f>
        <v>0</v>
      </c>
      <c r="J172" s="161" t="s">
        <v>372</v>
      </c>
    </row>
    <row r="173" spans="1:10" ht="12.75" customHeight="1">
      <c r="A173" s="95"/>
      <c r="C173" s="93" t="str">
        <f>CONCATENATE(B135," celkem")</f>
        <v>764 celkem</v>
      </c>
      <c r="D173" s="69"/>
      <c r="G173" s="111">
        <f>SUBTOTAL(9,G137:G172)</f>
        <v>0.96226976</v>
      </c>
      <c r="I173" s="94">
        <f>SUBTOTAL(9,I137:I172)</f>
        <v>0</v>
      </c>
      <c r="J173" s="161"/>
    </row>
    <row r="174" spans="3:10" s="95" customFormat="1" ht="12.75" customHeight="1">
      <c r="C174" s="115"/>
      <c r="G174" s="111"/>
      <c r="I174" s="112"/>
      <c r="J174" s="162"/>
    </row>
    <row r="175" spans="1:10" ht="12.75" customHeight="1">
      <c r="A175" s="95"/>
      <c r="B175" s="77" t="s">
        <v>149</v>
      </c>
      <c r="C175" s="78" t="s">
        <v>248</v>
      </c>
      <c r="D175" s="69"/>
      <c r="G175" s="95"/>
      <c r="J175" s="161"/>
    </row>
    <row r="176" spans="1:10" ht="6" customHeight="1">
      <c r="A176" s="95"/>
      <c r="D176" s="69"/>
      <c r="G176" s="95"/>
      <c r="J176" s="161"/>
    </row>
    <row r="177" spans="1:10" ht="12" customHeight="1">
      <c r="A177" s="101" t="s">
        <v>557</v>
      </c>
      <c r="B177" s="81" t="s">
        <v>250</v>
      </c>
      <c r="C177" s="82" t="s">
        <v>249</v>
      </c>
      <c r="D177" s="83" t="s">
        <v>72</v>
      </c>
      <c r="E177" s="84">
        <f>SUM(E178:E179)</f>
        <v>25.43625</v>
      </c>
      <c r="F177" s="85">
        <v>0.008</v>
      </c>
      <c r="G177" s="103">
        <f>E177*F177</f>
        <v>0.20349</v>
      </c>
      <c r="H177" s="86"/>
      <c r="I177" s="87">
        <f>E177*H177</f>
        <v>0</v>
      </c>
      <c r="J177" s="161" t="s">
        <v>372</v>
      </c>
    </row>
    <row r="178" spans="1:10" s="95" customFormat="1" ht="12" customHeight="1" hidden="1" outlineLevel="1">
      <c r="A178" s="101"/>
      <c r="B178" s="98"/>
      <c r="C178" s="114" t="s">
        <v>435</v>
      </c>
      <c r="D178" s="89"/>
      <c r="E178" s="90">
        <v>0</v>
      </c>
      <c r="F178" s="102"/>
      <c r="G178" s="103"/>
      <c r="H178" s="104"/>
      <c r="I178" s="100"/>
      <c r="J178" s="162"/>
    </row>
    <row r="179" spans="1:10" s="95" customFormat="1" ht="12" customHeight="1" hidden="1" outlineLevel="1">
      <c r="A179" s="101"/>
      <c r="B179" s="98"/>
      <c r="C179" s="150" t="s">
        <v>436</v>
      </c>
      <c r="D179" s="146"/>
      <c r="E179" s="132">
        <f>0.45*(13.025+21.75*2)</f>
        <v>25.43625</v>
      </c>
      <c r="F179" s="102"/>
      <c r="G179" s="103"/>
      <c r="H179" s="104"/>
      <c r="I179" s="100"/>
      <c r="J179" s="162"/>
    </row>
    <row r="180" spans="1:10" ht="12" customHeight="1" collapsed="1">
      <c r="A180" s="101" t="s">
        <v>558</v>
      </c>
      <c r="B180" s="155" t="s">
        <v>251</v>
      </c>
      <c r="C180" s="82" t="s">
        <v>252</v>
      </c>
      <c r="D180" s="83" t="s">
        <v>72</v>
      </c>
      <c r="E180" s="84">
        <f>SUM(E181:E183)</f>
        <v>491.99625000000003</v>
      </c>
      <c r="F180" s="85">
        <v>0.02465</v>
      </c>
      <c r="G180" s="103">
        <f>E180*F180</f>
        <v>12.1277075625</v>
      </c>
      <c r="H180" s="86"/>
      <c r="I180" s="87">
        <f>E180*H180</f>
        <v>0</v>
      </c>
      <c r="J180" s="161" t="s">
        <v>372</v>
      </c>
    </row>
    <row r="181" spans="1:10" ht="12" customHeight="1" hidden="1" outlineLevel="1">
      <c r="A181" s="101"/>
      <c r="B181" s="92"/>
      <c r="C181" s="152" t="s">
        <v>437</v>
      </c>
      <c r="D181" s="153"/>
      <c r="E181" s="90">
        <v>0</v>
      </c>
      <c r="F181" s="85"/>
      <c r="G181" s="103"/>
      <c r="H181" s="86"/>
      <c r="I181" s="100"/>
      <c r="J181" s="161"/>
    </row>
    <row r="182" spans="1:10" ht="12" customHeight="1" hidden="1" outlineLevel="1">
      <c r="A182" s="101"/>
      <c r="B182" s="92"/>
      <c r="C182" s="167" t="s">
        <v>436</v>
      </c>
      <c r="D182" s="146"/>
      <c r="E182" s="132">
        <f>0.45*(13.025+21.75*2)</f>
        <v>25.43625</v>
      </c>
      <c r="F182" s="85"/>
      <c r="G182" s="103"/>
      <c r="H182" s="86"/>
      <c r="I182" s="100"/>
      <c r="J182" s="161"/>
    </row>
    <row r="183" spans="1:10" s="95" customFormat="1" ht="12" customHeight="1" hidden="1" outlineLevel="1">
      <c r="A183" s="101"/>
      <c r="B183" s="137"/>
      <c r="C183" s="167" t="s">
        <v>439</v>
      </c>
      <c r="D183" s="146"/>
      <c r="E183" s="132">
        <f>3.6*1.2*108</f>
        <v>466.56000000000006</v>
      </c>
      <c r="F183" s="102"/>
      <c r="G183" s="103"/>
      <c r="H183" s="104"/>
      <c r="I183" s="100"/>
      <c r="J183" s="162"/>
    </row>
    <row r="184" spans="1:10" ht="12" customHeight="1" collapsed="1">
      <c r="A184" s="101" t="s">
        <v>559</v>
      </c>
      <c r="B184" s="81" t="s">
        <v>253</v>
      </c>
      <c r="C184" s="82" t="s">
        <v>258</v>
      </c>
      <c r="D184" s="83" t="s">
        <v>2</v>
      </c>
      <c r="E184" s="96">
        <v>0.0156</v>
      </c>
      <c r="F184" s="85">
        <v>0</v>
      </c>
      <c r="G184" s="103">
        <f>E184*F184</f>
        <v>0</v>
      </c>
      <c r="H184" s="86"/>
      <c r="I184" s="87">
        <f>E184*H184</f>
        <v>0</v>
      </c>
      <c r="J184" s="161" t="s">
        <v>372</v>
      </c>
    </row>
    <row r="185" spans="1:10" ht="12.75" customHeight="1">
      <c r="A185" s="95"/>
      <c r="C185" s="93" t="str">
        <f>CONCATENATE(B175," celkem")</f>
        <v>766 celkem</v>
      </c>
      <c r="D185" s="69"/>
      <c r="G185" s="111">
        <f>SUBTOTAL(9,G177:G184)</f>
        <v>12.3311975625</v>
      </c>
      <c r="I185" s="94">
        <f>SUBTOTAL(9,I177:I184)</f>
        <v>0</v>
      </c>
      <c r="J185" s="161"/>
    </row>
    <row r="186" spans="3:10" s="95" customFormat="1" ht="12.75" customHeight="1">
      <c r="C186" s="115"/>
      <c r="G186" s="111"/>
      <c r="I186" s="112"/>
      <c r="J186" s="162"/>
    </row>
    <row r="187" spans="2:10" ht="11.25">
      <c r="B187" s="77" t="s">
        <v>3</v>
      </c>
      <c r="C187" s="78" t="s">
        <v>81</v>
      </c>
      <c r="J187" s="161"/>
    </row>
    <row r="188" ht="6" customHeight="1">
      <c r="J188" s="161"/>
    </row>
    <row r="189" spans="1:10" ht="12" customHeight="1">
      <c r="A189" s="101" t="s">
        <v>560</v>
      </c>
      <c r="B189" s="91" t="s">
        <v>442</v>
      </c>
      <c r="C189" s="82" t="s">
        <v>441</v>
      </c>
      <c r="D189" s="83" t="s">
        <v>74</v>
      </c>
      <c r="E189" s="84">
        <f>SUM(E190:E191)</f>
        <v>88</v>
      </c>
      <c r="F189" s="85">
        <v>0.001</v>
      </c>
      <c r="G189" s="103">
        <f>E189*F189</f>
        <v>0.088</v>
      </c>
      <c r="H189" s="86"/>
      <c r="I189" s="87">
        <f>E189*H189</f>
        <v>0</v>
      </c>
      <c r="J189" s="161" t="s">
        <v>372</v>
      </c>
    </row>
    <row r="190" spans="1:10" s="95" customFormat="1" ht="12" customHeight="1" hidden="1" outlineLevel="1">
      <c r="A190" s="101"/>
      <c r="B190" s="107"/>
      <c r="C190" s="150" t="s">
        <v>443</v>
      </c>
      <c r="D190" s="106"/>
      <c r="E190" s="132">
        <v>0</v>
      </c>
      <c r="F190" s="102"/>
      <c r="G190" s="103"/>
      <c r="H190" s="104"/>
      <c r="I190" s="100"/>
      <c r="J190" s="162"/>
    </row>
    <row r="191" spans="1:10" s="95" customFormat="1" ht="12" customHeight="1" hidden="1" outlineLevel="1">
      <c r="A191" s="101"/>
      <c r="B191" s="107"/>
      <c r="C191" s="150" t="s">
        <v>444</v>
      </c>
      <c r="D191" s="106"/>
      <c r="E191" s="132">
        <f>4*22</f>
        <v>88</v>
      </c>
      <c r="F191" s="102"/>
      <c r="G191" s="103"/>
      <c r="H191" s="104"/>
      <c r="I191" s="100"/>
      <c r="J191" s="162"/>
    </row>
    <row r="192" spans="1:10" ht="12" customHeight="1" collapsed="1">
      <c r="A192" s="101" t="s">
        <v>561</v>
      </c>
      <c r="B192" s="91" t="s">
        <v>256</v>
      </c>
      <c r="C192" s="82" t="s">
        <v>257</v>
      </c>
      <c r="D192" s="83" t="s">
        <v>74</v>
      </c>
      <c r="E192" s="84">
        <f>SUM(E193:E194)</f>
        <v>14580</v>
      </c>
      <c r="F192" s="85">
        <v>0.001</v>
      </c>
      <c r="G192" s="103">
        <f>E192*F192</f>
        <v>14.58</v>
      </c>
      <c r="H192" s="86"/>
      <c r="I192" s="87">
        <f>E192*H192</f>
        <v>0</v>
      </c>
      <c r="J192" s="161" t="s">
        <v>372</v>
      </c>
    </row>
    <row r="193" spans="1:10" s="95" customFormat="1" ht="12" customHeight="1" hidden="1" outlineLevel="1">
      <c r="A193" s="101"/>
      <c r="B193" s="107"/>
      <c r="C193" s="167" t="s">
        <v>438</v>
      </c>
      <c r="D193" s="106"/>
      <c r="E193" s="132">
        <v>0</v>
      </c>
      <c r="F193" s="102"/>
      <c r="G193" s="103"/>
      <c r="H193" s="104"/>
      <c r="I193" s="100"/>
      <c r="J193" s="162"/>
    </row>
    <row r="194" spans="1:10" s="95" customFormat="1" ht="12" customHeight="1" hidden="1" outlineLevel="1">
      <c r="A194" s="101"/>
      <c r="B194" s="107"/>
      <c r="C194" s="167" t="s">
        <v>440</v>
      </c>
      <c r="D194" s="106"/>
      <c r="E194" s="132">
        <f>(12+49+12+35)*135</f>
        <v>14580</v>
      </c>
      <c r="F194" s="102"/>
      <c r="G194" s="103"/>
      <c r="H194" s="104"/>
      <c r="I194" s="100"/>
      <c r="J194" s="162"/>
    </row>
    <row r="195" spans="1:10" ht="12" customHeight="1" collapsed="1">
      <c r="A195" s="101" t="s">
        <v>562</v>
      </c>
      <c r="B195" s="91" t="s">
        <v>303</v>
      </c>
      <c r="C195" s="82" t="s">
        <v>304</v>
      </c>
      <c r="D195" s="83" t="s">
        <v>74</v>
      </c>
      <c r="E195" s="84">
        <f>SUM(E196:E197)</f>
        <v>118.80000000000001</v>
      </c>
      <c r="F195" s="85">
        <v>7E-05</v>
      </c>
      <c r="G195" s="103">
        <f>E195*F195</f>
        <v>0.008316</v>
      </c>
      <c r="H195" s="86"/>
      <c r="I195" s="87">
        <f>E195*H195</f>
        <v>0</v>
      </c>
      <c r="J195" s="161" t="s">
        <v>372</v>
      </c>
    </row>
    <row r="196" spans="1:10" s="95" customFormat="1" ht="12" customHeight="1" hidden="1" outlineLevel="1">
      <c r="A196" s="101"/>
      <c r="B196" s="107"/>
      <c r="C196" s="150" t="s">
        <v>448</v>
      </c>
      <c r="D196" s="106"/>
      <c r="E196" s="132">
        <v>0</v>
      </c>
      <c r="F196" s="102"/>
      <c r="G196" s="103"/>
      <c r="H196" s="104"/>
      <c r="I196" s="100"/>
      <c r="J196" s="162"/>
    </row>
    <row r="197" spans="1:10" s="95" customFormat="1" ht="12" customHeight="1" hidden="1" outlineLevel="1">
      <c r="A197" s="101"/>
      <c r="B197" s="107"/>
      <c r="C197" s="150" t="s">
        <v>449</v>
      </c>
      <c r="D197" s="106"/>
      <c r="E197" s="132">
        <f>108*1.1</f>
        <v>118.80000000000001</v>
      </c>
      <c r="F197" s="102"/>
      <c r="G197" s="103"/>
      <c r="H197" s="104"/>
      <c r="I197" s="100"/>
      <c r="J197" s="162"/>
    </row>
    <row r="198" spans="1:10" s="95" customFormat="1" ht="12" customHeight="1" collapsed="1">
      <c r="A198" s="101" t="s">
        <v>563</v>
      </c>
      <c r="B198" s="107" t="s">
        <v>453</v>
      </c>
      <c r="C198" s="82" t="s">
        <v>506</v>
      </c>
      <c r="D198" s="83" t="s">
        <v>165</v>
      </c>
      <c r="E198" s="84">
        <v>108</v>
      </c>
      <c r="F198" s="85">
        <v>0</v>
      </c>
      <c r="G198" s="103">
        <f>E198*F198</f>
        <v>0</v>
      </c>
      <c r="H198" s="86"/>
      <c r="I198" s="87">
        <f>E198*H198</f>
        <v>0</v>
      </c>
      <c r="J198" s="161" t="s">
        <v>127</v>
      </c>
    </row>
    <row r="199" spans="1:10" ht="12" customHeight="1">
      <c r="A199" s="101" t="s">
        <v>564</v>
      </c>
      <c r="B199" s="91" t="s">
        <v>445</v>
      </c>
      <c r="C199" s="82" t="s">
        <v>441</v>
      </c>
      <c r="D199" s="83" t="s">
        <v>74</v>
      </c>
      <c r="E199" s="84">
        <f>SUM(E200:E201)</f>
        <v>300</v>
      </c>
      <c r="F199" s="85">
        <v>0.001</v>
      </c>
      <c r="G199" s="103">
        <f>E199*F199</f>
        <v>0.3</v>
      </c>
      <c r="H199" s="86"/>
      <c r="I199" s="87">
        <f>E199*H199</f>
        <v>0</v>
      </c>
      <c r="J199" s="161" t="s">
        <v>372</v>
      </c>
    </row>
    <row r="200" spans="1:10" s="95" customFormat="1" ht="12" customHeight="1" hidden="1" outlineLevel="1">
      <c r="A200" s="101"/>
      <c r="B200" s="107"/>
      <c r="C200" s="167" t="s">
        <v>446</v>
      </c>
      <c r="D200" s="106"/>
      <c r="E200" s="132">
        <v>0</v>
      </c>
      <c r="F200" s="102"/>
      <c r="G200" s="103"/>
      <c r="H200" s="104"/>
      <c r="I200" s="100"/>
      <c r="J200" s="162"/>
    </row>
    <row r="201" spans="1:10" s="95" customFormat="1" ht="12" customHeight="1" hidden="1" outlineLevel="1">
      <c r="A201" s="101"/>
      <c r="B201" s="107"/>
      <c r="C201" s="167" t="s">
        <v>447</v>
      </c>
      <c r="D201" s="106"/>
      <c r="E201" s="132">
        <f>4*75</f>
        <v>300</v>
      </c>
      <c r="F201" s="102"/>
      <c r="G201" s="103"/>
      <c r="H201" s="104"/>
      <c r="I201" s="100"/>
      <c r="J201" s="162"/>
    </row>
    <row r="202" spans="1:10" ht="12" customHeight="1" collapsed="1">
      <c r="A202" s="101" t="s">
        <v>565</v>
      </c>
      <c r="B202" s="91" t="s">
        <v>498</v>
      </c>
      <c r="C202" s="82" t="s">
        <v>509</v>
      </c>
      <c r="D202" s="83" t="s">
        <v>74</v>
      </c>
      <c r="E202" s="84">
        <f>SUM(E203:E206)</f>
        <v>225</v>
      </c>
      <c r="F202" s="85">
        <v>7E-05</v>
      </c>
      <c r="G202" s="103">
        <f>E202*F202</f>
        <v>0.01575</v>
      </c>
      <c r="H202" s="86"/>
      <c r="I202" s="87">
        <f>E202*H202</f>
        <v>0</v>
      </c>
      <c r="J202" s="161" t="s">
        <v>372</v>
      </c>
    </row>
    <row r="203" spans="1:10" s="95" customFormat="1" ht="12" customHeight="1" hidden="1" outlineLevel="1">
      <c r="A203" s="101"/>
      <c r="B203" s="107"/>
      <c r="C203" s="158" t="s">
        <v>450</v>
      </c>
      <c r="D203" s="106"/>
      <c r="E203" s="132">
        <v>0</v>
      </c>
      <c r="F203" s="102"/>
      <c r="G203" s="103"/>
      <c r="H203" s="104"/>
      <c r="I203" s="100"/>
      <c r="J203" s="162"/>
    </row>
    <row r="204" spans="1:10" s="95" customFormat="1" ht="12" customHeight="1" hidden="1" outlineLevel="1">
      <c r="A204" s="101"/>
      <c r="B204" s="107"/>
      <c r="C204" s="173" t="s">
        <v>499</v>
      </c>
      <c r="D204" s="106"/>
      <c r="E204" s="132">
        <f>4*45</f>
        <v>180</v>
      </c>
      <c r="F204" s="102"/>
      <c r="G204" s="103"/>
      <c r="H204" s="104"/>
      <c r="I204" s="100"/>
      <c r="J204" s="162"/>
    </row>
    <row r="205" spans="1:10" s="95" customFormat="1" ht="12" customHeight="1" hidden="1" outlineLevel="1">
      <c r="A205" s="101"/>
      <c r="B205" s="107"/>
      <c r="C205" s="173" t="s">
        <v>501</v>
      </c>
      <c r="D205" s="106"/>
      <c r="E205" s="132">
        <v>0</v>
      </c>
      <c r="F205" s="102"/>
      <c r="G205" s="103"/>
      <c r="H205" s="104"/>
      <c r="I205" s="100"/>
      <c r="J205" s="162"/>
    </row>
    <row r="206" spans="1:10" s="95" customFormat="1" ht="12" customHeight="1" hidden="1" outlineLevel="1">
      <c r="A206" s="101"/>
      <c r="B206" s="107"/>
      <c r="C206" s="173" t="s">
        <v>502</v>
      </c>
      <c r="D206" s="106"/>
      <c r="E206" s="132">
        <v>45</v>
      </c>
      <c r="F206" s="102"/>
      <c r="G206" s="103"/>
      <c r="H206" s="104"/>
      <c r="I206" s="100"/>
      <c r="J206" s="162"/>
    </row>
    <row r="207" spans="1:10" s="95" customFormat="1" ht="12" customHeight="1" collapsed="1">
      <c r="A207" s="101" t="s">
        <v>566</v>
      </c>
      <c r="B207" s="170" t="s">
        <v>507</v>
      </c>
      <c r="C207" s="82" t="s">
        <v>500</v>
      </c>
      <c r="D207" s="83" t="s">
        <v>165</v>
      </c>
      <c r="E207" s="84">
        <f>SUM(E208:E209)</f>
        <v>4</v>
      </c>
      <c r="F207" s="85">
        <v>0</v>
      </c>
      <c r="G207" s="103">
        <f>E207*F207</f>
        <v>0</v>
      </c>
      <c r="H207" s="86"/>
      <c r="I207" s="87">
        <f>E207*H207</f>
        <v>0</v>
      </c>
      <c r="J207" s="161" t="s">
        <v>127</v>
      </c>
    </row>
    <row r="208" spans="1:10" s="95" customFormat="1" ht="12.75" customHeight="1" hidden="1" outlineLevel="1">
      <c r="A208" s="101"/>
      <c r="B208" s="107"/>
      <c r="C208" s="150" t="s">
        <v>451</v>
      </c>
      <c r="D208" s="106"/>
      <c r="E208" s="132">
        <v>0</v>
      </c>
      <c r="F208" s="102"/>
      <c r="G208" s="103"/>
      <c r="H208" s="104"/>
      <c r="I208" s="100"/>
      <c r="J208" s="162"/>
    </row>
    <row r="209" spans="1:10" s="95" customFormat="1" ht="12" customHeight="1" hidden="1" outlineLevel="1">
      <c r="A209" s="101"/>
      <c r="B209" s="107"/>
      <c r="C209" s="150" t="s">
        <v>452</v>
      </c>
      <c r="D209" s="106"/>
      <c r="E209" s="132">
        <v>4</v>
      </c>
      <c r="F209" s="102"/>
      <c r="G209" s="103"/>
      <c r="H209" s="104"/>
      <c r="I209" s="100"/>
      <c r="J209" s="162"/>
    </row>
    <row r="210" spans="1:10" s="95" customFormat="1" ht="12" customHeight="1" collapsed="1">
      <c r="A210" s="101" t="s">
        <v>76</v>
      </c>
      <c r="B210" s="107" t="s">
        <v>508</v>
      </c>
      <c r="C210" s="82" t="s">
        <v>503</v>
      </c>
      <c r="D210" s="83" t="s">
        <v>165</v>
      </c>
      <c r="E210" s="84">
        <f>SUM(E211:E212)</f>
        <v>1</v>
      </c>
      <c r="F210" s="85">
        <v>0.0006</v>
      </c>
      <c r="G210" s="103">
        <f>E210*F210</f>
        <v>0.0006</v>
      </c>
      <c r="H210" s="86"/>
      <c r="I210" s="87">
        <f>E210*H210</f>
        <v>0</v>
      </c>
      <c r="J210" s="161" t="s">
        <v>127</v>
      </c>
    </row>
    <row r="211" spans="1:10" s="95" customFormat="1" ht="12.75" customHeight="1" hidden="1" outlineLevel="1">
      <c r="A211" s="101"/>
      <c r="B211" s="107"/>
      <c r="C211" s="173" t="s">
        <v>504</v>
      </c>
      <c r="D211" s="106"/>
      <c r="E211" s="132">
        <v>0</v>
      </c>
      <c r="F211" s="102"/>
      <c r="G211" s="103"/>
      <c r="H211" s="104"/>
      <c r="I211" s="100"/>
      <c r="J211" s="162"/>
    </row>
    <row r="212" spans="1:10" s="95" customFormat="1" ht="12" customHeight="1" hidden="1" outlineLevel="1">
      <c r="A212" s="101"/>
      <c r="B212" s="107"/>
      <c r="C212" s="173" t="s">
        <v>505</v>
      </c>
      <c r="D212" s="106"/>
      <c r="E212" s="132">
        <v>1</v>
      </c>
      <c r="F212" s="102"/>
      <c r="G212" s="103"/>
      <c r="H212" s="104"/>
      <c r="I212" s="100"/>
      <c r="J212" s="162"/>
    </row>
    <row r="213" spans="1:10" s="95" customFormat="1" ht="12" customHeight="1" collapsed="1">
      <c r="A213" s="101" t="s">
        <v>157</v>
      </c>
      <c r="B213" s="107" t="s">
        <v>494</v>
      </c>
      <c r="C213" s="82" t="s">
        <v>495</v>
      </c>
      <c r="D213" s="83" t="s">
        <v>165</v>
      </c>
      <c r="E213" s="84">
        <f>SUM(E214:E215)</f>
        <v>2</v>
      </c>
      <c r="F213" s="85">
        <v>0.0006</v>
      </c>
      <c r="G213" s="103">
        <f>E213*F213</f>
        <v>0.0012</v>
      </c>
      <c r="H213" s="86"/>
      <c r="I213" s="87">
        <f>E213*H213</f>
        <v>0</v>
      </c>
      <c r="J213" s="161" t="s">
        <v>127</v>
      </c>
    </row>
    <row r="214" spans="1:10" s="95" customFormat="1" ht="42.75" customHeight="1" hidden="1" outlineLevel="1">
      <c r="A214" s="101"/>
      <c r="B214" s="107"/>
      <c r="C214" s="150" t="s">
        <v>496</v>
      </c>
      <c r="D214" s="106"/>
      <c r="E214" s="132">
        <v>0</v>
      </c>
      <c r="F214" s="102"/>
      <c r="G214" s="103"/>
      <c r="H214" s="104"/>
      <c r="I214" s="100"/>
      <c r="J214" s="162"/>
    </row>
    <row r="215" spans="1:10" s="95" customFormat="1" ht="12" customHeight="1" hidden="1" outlineLevel="1">
      <c r="A215" s="101"/>
      <c r="B215" s="107"/>
      <c r="C215" s="152" t="s">
        <v>369</v>
      </c>
      <c r="D215" s="106"/>
      <c r="E215" s="132">
        <v>2</v>
      </c>
      <c r="F215" s="102"/>
      <c r="G215" s="103"/>
      <c r="H215" s="104"/>
      <c r="I215" s="100"/>
      <c r="J215" s="162"/>
    </row>
    <row r="216" spans="1:10" ht="11.25" collapsed="1">
      <c r="A216" s="101" t="s">
        <v>567</v>
      </c>
      <c r="B216" s="81" t="s">
        <v>4</v>
      </c>
      <c r="C216" s="82" t="s">
        <v>5</v>
      </c>
      <c r="D216" s="83" t="s">
        <v>2</v>
      </c>
      <c r="E216" s="96">
        <v>0.0215</v>
      </c>
      <c r="F216" s="85">
        <v>0</v>
      </c>
      <c r="G216" s="103">
        <f>E216*F216</f>
        <v>0</v>
      </c>
      <c r="H216" s="86"/>
      <c r="I216" s="87">
        <f>E216*H216</f>
        <v>0</v>
      </c>
      <c r="J216" s="161" t="s">
        <v>372</v>
      </c>
    </row>
    <row r="217" spans="3:10" ht="11.25">
      <c r="C217" s="93" t="str">
        <f>CONCATENATE(B187," celkem")</f>
        <v>767 celkem</v>
      </c>
      <c r="G217" s="111">
        <f>SUBTOTAL(9,G189:G216)</f>
        <v>14.993866000000002</v>
      </c>
      <c r="I217" s="94">
        <f>SUBTOTAL(9,I189:I216)</f>
        <v>0</v>
      </c>
      <c r="J217" s="161"/>
    </row>
    <row r="218" spans="1:10" s="95" customFormat="1" ht="11.25">
      <c r="A218" s="105"/>
      <c r="C218" s="115"/>
      <c r="D218" s="105"/>
      <c r="G218" s="111"/>
      <c r="I218" s="112"/>
      <c r="J218" s="162"/>
    </row>
    <row r="219" spans="1:10" s="95" customFormat="1" ht="11.25">
      <c r="A219" s="105"/>
      <c r="B219" s="77" t="s">
        <v>129</v>
      </c>
      <c r="C219" s="78" t="s">
        <v>130</v>
      </c>
      <c r="D219" s="76"/>
      <c r="E219" s="69"/>
      <c r="F219" s="69"/>
      <c r="G219" s="69"/>
      <c r="H219" s="69"/>
      <c r="I219" s="69"/>
      <c r="J219" s="161"/>
    </row>
    <row r="220" spans="1:10" s="95" customFormat="1" ht="6" customHeight="1">
      <c r="A220" s="105"/>
      <c r="B220" s="69"/>
      <c r="C220" s="80"/>
      <c r="D220" s="76"/>
      <c r="E220" s="69"/>
      <c r="F220" s="69"/>
      <c r="G220" s="69"/>
      <c r="H220" s="69"/>
      <c r="I220" s="69"/>
      <c r="J220" s="161"/>
    </row>
    <row r="221" spans="1:10" s="95" customFormat="1" ht="12" customHeight="1">
      <c r="A221" s="101" t="s">
        <v>568</v>
      </c>
      <c r="B221" s="81" t="s">
        <v>131</v>
      </c>
      <c r="C221" s="82" t="s">
        <v>132</v>
      </c>
      <c r="D221" s="83" t="s">
        <v>72</v>
      </c>
      <c r="E221" s="84">
        <f>SUM(E222:E226)</f>
        <v>93.74660000000002</v>
      </c>
      <c r="F221" s="85"/>
      <c r="G221" s="103">
        <f>E221*F221</f>
        <v>0</v>
      </c>
      <c r="H221" s="86"/>
      <c r="I221" s="87">
        <f>E221*H221</f>
        <v>0</v>
      </c>
      <c r="J221" s="161" t="s">
        <v>372</v>
      </c>
    </row>
    <row r="222" spans="1:10" s="95" customFormat="1" ht="23.25" customHeight="1" hidden="1" outlineLevel="1">
      <c r="A222" s="101"/>
      <c r="B222" s="98"/>
      <c r="C222" s="114" t="s">
        <v>454</v>
      </c>
      <c r="D222" s="89"/>
      <c r="E222" s="90">
        <v>0</v>
      </c>
      <c r="F222" s="102"/>
      <c r="G222" s="103"/>
      <c r="H222" s="104"/>
      <c r="I222" s="100"/>
      <c r="J222" s="162"/>
    </row>
    <row r="223" spans="1:10" s="95" customFormat="1" ht="12.75" customHeight="1" hidden="1" outlineLevel="1">
      <c r="A223" s="101"/>
      <c r="B223" s="98"/>
      <c r="C223" s="114" t="s">
        <v>456</v>
      </c>
      <c r="D223" s="89"/>
      <c r="E223" s="90">
        <f>((2.1+0.6)*2*0.45+2.1*0.45)*11</f>
        <v>37.125</v>
      </c>
      <c r="F223" s="102"/>
      <c r="G223" s="103"/>
      <c r="H223" s="104"/>
      <c r="I223" s="100"/>
      <c r="J223" s="162"/>
    </row>
    <row r="224" spans="1:10" s="95" customFormat="1" ht="12.75" customHeight="1" hidden="1" outlineLevel="1">
      <c r="A224" s="101"/>
      <c r="B224" s="98"/>
      <c r="C224" s="114" t="s">
        <v>457</v>
      </c>
      <c r="D224" s="89"/>
      <c r="E224" s="90">
        <f>(0.9*4*0.65+0.9*0.9)*14</f>
        <v>44.10000000000001</v>
      </c>
      <c r="F224" s="102"/>
      <c r="G224" s="103"/>
      <c r="H224" s="104"/>
      <c r="I224" s="100"/>
      <c r="J224" s="162"/>
    </row>
    <row r="225" spans="1:10" s="95" customFormat="1" ht="12" customHeight="1" hidden="1" outlineLevel="1">
      <c r="A225" s="101"/>
      <c r="B225" s="149"/>
      <c r="C225" s="114" t="s">
        <v>458</v>
      </c>
      <c r="D225" s="89"/>
      <c r="E225" s="90">
        <f>3.14*0.2*0.2*2.4*15</f>
        <v>4.5216</v>
      </c>
      <c r="F225" s="102"/>
      <c r="G225" s="103"/>
      <c r="H225" s="104"/>
      <c r="I225" s="100"/>
      <c r="J225" s="162"/>
    </row>
    <row r="226" spans="1:10" s="95" customFormat="1" ht="12" customHeight="1" hidden="1" outlineLevel="1">
      <c r="A226" s="101"/>
      <c r="B226" s="98"/>
      <c r="C226" s="114" t="s">
        <v>455</v>
      </c>
      <c r="D226" s="89"/>
      <c r="E226" s="90">
        <v>8</v>
      </c>
      <c r="F226" s="102"/>
      <c r="G226" s="103"/>
      <c r="H226" s="104"/>
      <c r="I226" s="100"/>
      <c r="J226" s="162"/>
    </row>
    <row r="227" spans="1:10" s="95" customFormat="1" ht="12" customHeight="1" collapsed="1">
      <c r="A227" s="101" t="s">
        <v>569</v>
      </c>
      <c r="B227" s="81" t="s">
        <v>133</v>
      </c>
      <c r="C227" s="82" t="s">
        <v>134</v>
      </c>
      <c r="D227" s="83" t="s">
        <v>72</v>
      </c>
      <c r="E227" s="84">
        <f>SUM(E228:E232)</f>
        <v>93.74660000000002</v>
      </c>
      <c r="F227" s="85"/>
      <c r="G227" s="103"/>
      <c r="H227" s="86"/>
      <c r="I227" s="87">
        <f>E227*H227</f>
        <v>0</v>
      </c>
      <c r="J227" s="161" t="s">
        <v>372</v>
      </c>
    </row>
    <row r="228" spans="1:10" s="95" customFormat="1" ht="23.25" customHeight="1" hidden="1" outlineLevel="1">
      <c r="A228" s="105"/>
      <c r="B228" s="98"/>
      <c r="C228" s="114" t="s">
        <v>454</v>
      </c>
      <c r="D228" s="89"/>
      <c r="E228" s="90">
        <v>0</v>
      </c>
      <c r="F228" s="102"/>
      <c r="G228" s="103"/>
      <c r="H228" s="104"/>
      <c r="I228" s="100"/>
      <c r="J228" s="162"/>
    </row>
    <row r="229" spans="1:10" s="95" customFormat="1" ht="12" customHeight="1" hidden="1" outlineLevel="1">
      <c r="A229" s="105"/>
      <c r="B229" s="149"/>
      <c r="C229" s="114" t="s">
        <v>456</v>
      </c>
      <c r="D229" s="89"/>
      <c r="E229" s="90">
        <f>((2.1+0.6)*2*0.45+2.1*0.45)*11</f>
        <v>37.125</v>
      </c>
      <c r="F229" s="102"/>
      <c r="G229" s="103"/>
      <c r="H229" s="104"/>
      <c r="I229" s="100"/>
      <c r="J229" s="162"/>
    </row>
    <row r="230" spans="1:10" s="95" customFormat="1" ht="12" customHeight="1" hidden="1" outlineLevel="1">
      <c r="A230" s="105"/>
      <c r="B230" s="149"/>
      <c r="C230" s="114" t="s">
        <v>457</v>
      </c>
      <c r="D230" s="89"/>
      <c r="E230" s="90">
        <f>(0.9*4*0.65+0.9*0.9)*14</f>
        <v>44.10000000000001</v>
      </c>
      <c r="F230" s="102"/>
      <c r="G230" s="103"/>
      <c r="H230" s="104"/>
      <c r="I230" s="100"/>
      <c r="J230" s="162"/>
    </row>
    <row r="231" spans="1:10" s="95" customFormat="1" ht="12" customHeight="1" hidden="1" outlineLevel="1">
      <c r="A231" s="105"/>
      <c r="B231" s="149"/>
      <c r="C231" s="114" t="s">
        <v>458</v>
      </c>
      <c r="D231" s="89"/>
      <c r="E231" s="90">
        <f>3.14*0.2*0.2*2.4*15</f>
        <v>4.5216</v>
      </c>
      <c r="F231" s="102"/>
      <c r="G231" s="103"/>
      <c r="H231" s="104"/>
      <c r="I231" s="100"/>
      <c r="J231" s="162"/>
    </row>
    <row r="232" spans="1:10" s="95" customFormat="1" ht="12" customHeight="1" hidden="1" outlineLevel="1">
      <c r="A232" s="105"/>
      <c r="B232" s="149"/>
      <c r="C232" s="114" t="s">
        <v>455</v>
      </c>
      <c r="D232" s="89"/>
      <c r="E232" s="90">
        <v>8</v>
      </c>
      <c r="F232" s="102"/>
      <c r="G232" s="103"/>
      <c r="H232" s="104"/>
      <c r="I232" s="100"/>
      <c r="J232" s="162"/>
    </row>
    <row r="233" spans="1:10" s="95" customFormat="1" ht="12" customHeight="1" collapsed="1">
      <c r="A233" s="105"/>
      <c r="B233" s="69"/>
      <c r="C233" s="93" t="str">
        <f>CONCATENATE(B219," celkem")</f>
        <v>783 celkem</v>
      </c>
      <c r="D233" s="76"/>
      <c r="E233" s="69"/>
      <c r="F233" s="69"/>
      <c r="G233" s="111">
        <f>SUBTOTAL(9,G221:G227)</f>
        <v>0</v>
      </c>
      <c r="H233" s="69"/>
      <c r="I233" s="94">
        <f>SUBTOTAL(9,I221:I227)</f>
        <v>0</v>
      </c>
      <c r="J233" s="161"/>
    </row>
    <row r="234" spans="1:10" s="95" customFormat="1" ht="12" customHeight="1">
      <c r="A234" s="105"/>
      <c r="C234" s="115"/>
      <c r="D234" s="105"/>
      <c r="G234" s="111"/>
      <c r="I234" s="112"/>
      <c r="J234" s="162"/>
    </row>
    <row r="235" spans="2:10" ht="11.25">
      <c r="B235" s="77" t="s">
        <v>6</v>
      </c>
      <c r="C235" s="78" t="s">
        <v>7</v>
      </c>
      <c r="G235" s="95"/>
      <c r="J235" s="161"/>
    </row>
    <row r="236" spans="7:10" ht="5.25" customHeight="1">
      <c r="G236" s="95"/>
      <c r="J236" s="161"/>
    </row>
    <row r="237" spans="1:10" s="95" customFormat="1" ht="12.75" customHeight="1">
      <c r="A237" s="174" t="s">
        <v>570</v>
      </c>
      <c r="B237" s="81" t="s">
        <v>173</v>
      </c>
      <c r="C237" s="82" t="s">
        <v>174</v>
      </c>
      <c r="D237" s="83" t="s">
        <v>72</v>
      </c>
      <c r="E237" s="84">
        <f>SUM(E238:E241)</f>
        <v>3029.7524999999996</v>
      </c>
      <c r="F237" s="85">
        <v>0</v>
      </c>
      <c r="G237" s="103">
        <f>E237*F237</f>
        <v>0</v>
      </c>
      <c r="H237" s="86"/>
      <c r="I237" s="87">
        <f>E237*H237</f>
        <v>0</v>
      </c>
      <c r="J237" s="161" t="s">
        <v>372</v>
      </c>
    </row>
    <row r="238" spans="1:10" s="95" customFormat="1" ht="12.75" customHeight="1" hidden="1" outlineLevel="1">
      <c r="A238" s="101"/>
      <c r="B238" s="81"/>
      <c r="C238" s="114" t="s">
        <v>464</v>
      </c>
      <c r="D238" s="97"/>
      <c r="E238" s="90">
        <f>(3.9+2.05+1.2+22.24+1.2+1.2+18.84+2*1.2)*21.9</f>
        <v>1161.3569999999997</v>
      </c>
      <c r="F238" s="85"/>
      <c r="G238" s="103"/>
      <c r="H238" s="86"/>
      <c r="I238" s="100"/>
      <c r="J238" s="161"/>
    </row>
    <row r="239" spans="1:10" s="95" customFormat="1" ht="12.75" customHeight="1" hidden="1" outlineLevel="1">
      <c r="A239" s="101"/>
      <c r="B239" s="81"/>
      <c r="C239" s="114" t="s">
        <v>465</v>
      </c>
      <c r="D239" s="97"/>
      <c r="E239" s="90">
        <f>(16.45+1*2+0.3)*20.9</f>
        <v>391.875</v>
      </c>
      <c r="F239" s="85"/>
      <c r="G239" s="103"/>
      <c r="H239" s="86"/>
      <c r="I239" s="100"/>
      <c r="J239" s="161"/>
    </row>
    <row r="240" spans="1:10" s="95" customFormat="1" ht="12.75" customHeight="1" hidden="1" outlineLevel="1">
      <c r="A240" s="101"/>
      <c r="B240" s="98"/>
      <c r="C240" s="114" t="s">
        <v>467</v>
      </c>
      <c r="D240" s="97"/>
      <c r="E240" s="90">
        <f>(25.64+4.8+2*1.2)*21.7+(18.95+2*1.2)*22.45</f>
        <v>1191.9355</v>
      </c>
      <c r="F240" s="102"/>
      <c r="G240" s="103"/>
      <c r="H240" s="104"/>
      <c r="I240" s="100"/>
      <c r="J240" s="162"/>
    </row>
    <row r="241" spans="1:10" s="95" customFormat="1" ht="12.75" customHeight="1" hidden="1" outlineLevel="1">
      <c r="A241" s="101"/>
      <c r="B241" s="81"/>
      <c r="C241" s="114" t="s">
        <v>466</v>
      </c>
      <c r="D241" s="97"/>
      <c r="E241" s="90">
        <f>(14.9+2*1.2)*16.45</f>
        <v>284.585</v>
      </c>
      <c r="F241" s="85"/>
      <c r="G241" s="103"/>
      <c r="H241" s="86"/>
      <c r="I241" s="100"/>
      <c r="J241" s="161"/>
    </row>
    <row r="242" spans="1:10" s="95" customFormat="1" ht="12.75" customHeight="1" collapsed="1">
      <c r="A242" s="174" t="s">
        <v>571</v>
      </c>
      <c r="B242" s="81" t="s">
        <v>176</v>
      </c>
      <c r="C242" s="82" t="s">
        <v>175</v>
      </c>
      <c r="D242" s="83" t="s">
        <v>72</v>
      </c>
      <c r="E242" s="84">
        <f>E237*4</f>
        <v>12119.009999999998</v>
      </c>
      <c r="F242" s="85">
        <v>0.00085</v>
      </c>
      <c r="G242" s="103">
        <f>E242*F242</f>
        <v>10.301158499999998</v>
      </c>
      <c r="H242" s="86"/>
      <c r="I242" s="87">
        <f>E242*H242</f>
        <v>0</v>
      </c>
      <c r="J242" s="161" t="s">
        <v>372</v>
      </c>
    </row>
    <row r="243" spans="1:10" s="95" customFormat="1" ht="12.75" customHeight="1">
      <c r="A243" s="174" t="s">
        <v>572</v>
      </c>
      <c r="B243" s="81" t="s">
        <v>177</v>
      </c>
      <c r="C243" s="82" t="s">
        <v>178</v>
      </c>
      <c r="D243" s="83" t="s">
        <v>72</v>
      </c>
      <c r="E243" s="84">
        <f>SUM(E244:E247)</f>
        <v>3029.7524999999996</v>
      </c>
      <c r="F243" s="85">
        <v>0</v>
      </c>
      <c r="G243" s="103">
        <f>E243*F243</f>
        <v>0</v>
      </c>
      <c r="H243" s="86"/>
      <c r="I243" s="87">
        <f>E243*H243</f>
        <v>0</v>
      </c>
      <c r="J243" s="161" t="s">
        <v>372</v>
      </c>
    </row>
    <row r="244" spans="1:10" s="95" customFormat="1" ht="12.75" customHeight="1" hidden="1" outlineLevel="1">
      <c r="A244" s="101"/>
      <c r="B244" s="81"/>
      <c r="C244" s="114" t="s">
        <v>464</v>
      </c>
      <c r="D244" s="97"/>
      <c r="E244" s="90">
        <f>(3.9+2.05+1.2+22.24+1.2+1.2+18.84+2*1.2)*21.9</f>
        <v>1161.3569999999997</v>
      </c>
      <c r="F244" s="85"/>
      <c r="G244" s="103"/>
      <c r="H244" s="86"/>
      <c r="I244" s="100"/>
      <c r="J244" s="161"/>
    </row>
    <row r="245" spans="1:10" s="95" customFormat="1" ht="12.75" customHeight="1" hidden="1" outlineLevel="1">
      <c r="A245" s="101"/>
      <c r="B245" s="98"/>
      <c r="C245" s="114" t="s">
        <v>465</v>
      </c>
      <c r="D245" s="97"/>
      <c r="E245" s="90">
        <f>(16.45+1*2+0.3)*20.9</f>
        <v>391.875</v>
      </c>
      <c r="F245" s="102"/>
      <c r="G245" s="103"/>
      <c r="H245" s="104"/>
      <c r="I245" s="100"/>
      <c r="J245" s="162"/>
    </row>
    <row r="246" spans="1:10" s="95" customFormat="1" ht="12.75" customHeight="1" hidden="1" outlineLevel="1">
      <c r="A246" s="101"/>
      <c r="B246" s="98"/>
      <c r="C246" s="114" t="s">
        <v>467</v>
      </c>
      <c r="D246" s="97"/>
      <c r="E246" s="90">
        <f>(25.64+4.8+2*1.2)*21.7+(18.95+2*1.2)*22.45</f>
        <v>1191.9355</v>
      </c>
      <c r="F246" s="102"/>
      <c r="G246" s="103"/>
      <c r="H246" s="104"/>
      <c r="I246" s="100"/>
      <c r="J246" s="162"/>
    </row>
    <row r="247" spans="1:10" s="95" customFormat="1" ht="12.75" customHeight="1" hidden="1" outlineLevel="1">
      <c r="A247" s="101"/>
      <c r="B247" s="81"/>
      <c r="C247" s="114" t="s">
        <v>466</v>
      </c>
      <c r="D247" s="97"/>
      <c r="E247" s="90">
        <f>(14.9+2*1.2)*16.45</f>
        <v>284.585</v>
      </c>
      <c r="F247" s="85"/>
      <c r="G247" s="103"/>
      <c r="H247" s="86"/>
      <c r="I247" s="100"/>
      <c r="J247" s="161"/>
    </row>
    <row r="248" spans="1:10" s="95" customFormat="1" ht="12.75" customHeight="1" collapsed="1">
      <c r="A248" s="101" t="s">
        <v>573</v>
      </c>
      <c r="B248" s="81" t="s">
        <v>468</v>
      </c>
      <c r="C248" s="82" t="s">
        <v>179</v>
      </c>
      <c r="D248" s="83" t="s">
        <v>75</v>
      </c>
      <c r="E248" s="84">
        <v>10</v>
      </c>
      <c r="F248" s="85">
        <v>0.02279</v>
      </c>
      <c r="G248" s="103">
        <f>E248*F248</f>
        <v>0.22790000000000002</v>
      </c>
      <c r="H248" s="86"/>
      <c r="I248" s="87">
        <f>E248*H248</f>
        <v>0</v>
      </c>
      <c r="J248" s="161" t="s">
        <v>372</v>
      </c>
    </row>
    <row r="249" spans="1:10" s="95" customFormat="1" ht="12.75" customHeight="1">
      <c r="A249" s="101" t="s">
        <v>574</v>
      </c>
      <c r="B249" s="81" t="s">
        <v>469</v>
      </c>
      <c r="C249" s="82" t="s">
        <v>180</v>
      </c>
      <c r="D249" s="83" t="s">
        <v>72</v>
      </c>
      <c r="E249" s="84">
        <f>E248*4</f>
        <v>40</v>
      </c>
      <c r="F249" s="85">
        <v>0.00176</v>
      </c>
      <c r="G249" s="103">
        <f>E249*F249</f>
        <v>0.0704</v>
      </c>
      <c r="H249" s="86"/>
      <c r="I249" s="87">
        <f>E249*H249</f>
        <v>0</v>
      </c>
      <c r="J249" s="161" t="s">
        <v>372</v>
      </c>
    </row>
    <row r="250" spans="1:10" s="95" customFormat="1" ht="12.75" customHeight="1">
      <c r="A250" s="101" t="s">
        <v>575</v>
      </c>
      <c r="B250" s="81" t="s">
        <v>182</v>
      </c>
      <c r="C250" s="82" t="s">
        <v>181</v>
      </c>
      <c r="D250" s="83" t="s">
        <v>72</v>
      </c>
      <c r="E250" s="84">
        <f>E248</f>
        <v>10</v>
      </c>
      <c r="F250" s="85">
        <v>0</v>
      </c>
      <c r="G250" s="103">
        <f>E250*F250</f>
        <v>0</v>
      </c>
      <c r="H250" s="86"/>
      <c r="I250" s="87">
        <f>E250*H250</f>
        <v>0</v>
      </c>
      <c r="J250" s="161" t="s">
        <v>372</v>
      </c>
    </row>
    <row r="251" spans="3:10" ht="12.75" customHeight="1">
      <c r="C251" s="93" t="str">
        <f>CONCATENATE(B235," celkem")</f>
        <v>94 celkem</v>
      </c>
      <c r="G251" s="111">
        <f>SUBTOTAL(9,G237:G250)</f>
        <v>10.599458499999997</v>
      </c>
      <c r="I251" s="94">
        <f>SUBTOTAL(9,I237:I250)</f>
        <v>0</v>
      </c>
      <c r="J251" s="161"/>
    </row>
    <row r="252" spans="1:10" s="95" customFormat="1" ht="11.25">
      <c r="A252" s="105"/>
      <c r="C252" s="115"/>
      <c r="D252" s="105"/>
      <c r="G252" s="111"/>
      <c r="I252" s="112"/>
      <c r="J252" s="162"/>
    </row>
    <row r="253" spans="2:10" ht="11.25">
      <c r="B253" s="77" t="s">
        <v>260</v>
      </c>
      <c r="C253" s="78" t="s">
        <v>261</v>
      </c>
      <c r="G253" s="95"/>
      <c r="J253" s="161"/>
    </row>
    <row r="254" spans="7:10" ht="5.25" customHeight="1">
      <c r="G254" s="95"/>
      <c r="J254" s="161"/>
    </row>
    <row r="255" spans="1:10" s="95" customFormat="1" ht="21.75" customHeight="1">
      <c r="A255" s="101" t="s">
        <v>576</v>
      </c>
      <c r="B255" s="171" t="s">
        <v>470</v>
      </c>
      <c r="C255" s="82" t="s">
        <v>471</v>
      </c>
      <c r="D255" s="83" t="s">
        <v>190</v>
      </c>
      <c r="E255" s="84">
        <f>SUM(E256:E256)</f>
        <v>1</v>
      </c>
      <c r="F255" s="85">
        <v>0</v>
      </c>
      <c r="G255" s="103">
        <f>E255*F255</f>
        <v>0</v>
      </c>
      <c r="H255" s="86"/>
      <c r="I255" s="87">
        <f>E255*H255</f>
        <v>0</v>
      </c>
      <c r="J255" s="161" t="s">
        <v>127</v>
      </c>
    </row>
    <row r="256" spans="1:10" s="95" customFormat="1" ht="46.5" customHeight="1" hidden="1" outlineLevel="1">
      <c r="A256" s="101"/>
      <c r="B256" s="81"/>
      <c r="C256" s="160" t="s">
        <v>472</v>
      </c>
      <c r="D256" s="97"/>
      <c r="E256" s="90">
        <v>1</v>
      </c>
      <c r="F256" s="85"/>
      <c r="G256" s="103"/>
      <c r="H256" s="86"/>
      <c r="I256" s="100"/>
      <c r="J256" s="161"/>
    </row>
    <row r="257" spans="1:10" s="95" customFormat="1" ht="21.75" customHeight="1" collapsed="1">
      <c r="A257" s="101" t="s">
        <v>347</v>
      </c>
      <c r="B257" s="171" t="s">
        <v>470</v>
      </c>
      <c r="C257" s="82" t="s">
        <v>473</v>
      </c>
      <c r="D257" s="83" t="s">
        <v>190</v>
      </c>
      <c r="E257" s="84">
        <f>SUM(E258:E258)</f>
        <v>1</v>
      </c>
      <c r="F257" s="85">
        <v>0</v>
      </c>
      <c r="G257" s="103">
        <f>E257*F257</f>
        <v>0</v>
      </c>
      <c r="H257" s="86"/>
      <c r="I257" s="87">
        <f>E257*H257</f>
        <v>0</v>
      </c>
      <c r="J257" s="161" t="s">
        <v>127</v>
      </c>
    </row>
    <row r="258" spans="1:10" s="95" customFormat="1" ht="46.5" customHeight="1" hidden="1" outlineLevel="1">
      <c r="A258" s="101"/>
      <c r="B258" s="81"/>
      <c r="C258" s="160" t="s">
        <v>472</v>
      </c>
      <c r="D258" s="97"/>
      <c r="E258" s="90">
        <v>1</v>
      </c>
      <c r="F258" s="85"/>
      <c r="G258" s="103"/>
      <c r="H258" s="86"/>
      <c r="I258" s="100"/>
      <c r="J258" s="161"/>
    </row>
    <row r="259" spans="1:10" s="95" customFormat="1" ht="12.75" customHeight="1" collapsed="1">
      <c r="A259" s="101" t="s">
        <v>577</v>
      </c>
      <c r="B259" s="81" t="s">
        <v>289</v>
      </c>
      <c r="C259" s="82" t="s">
        <v>292</v>
      </c>
      <c r="D259" s="83" t="s">
        <v>190</v>
      </c>
      <c r="E259" s="84">
        <f>SUM(E260:E260)</f>
        <v>3</v>
      </c>
      <c r="F259" s="85">
        <v>0</v>
      </c>
      <c r="G259" s="103">
        <f>E259*F259</f>
        <v>0</v>
      </c>
      <c r="H259" s="86"/>
      <c r="I259" s="87">
        <f>E259*H259</f>
        <v>0</v>
      </c>
      <c r="J259" s="161" t="s">
        <v>127</v>
      </c>
    </row>
    <row r="260" spans="1:10" s="95" customFormat="1" ht="46.5" customHeight="1" hidden="1" outlineLevel="1">
      <c r="A260" s="101"/>
      <c r="B260" s="81"/>
      <c r="C260" s="160" t="s">
        <v>290</v>
      </c>
      <c r="D260" s="97"/>
      <c r="E260" s="90">
        <v>3</v>
      </c>
      <c r="F260" s="85"/>
      <c r="G260" s="103"/>
      <c r="H260" s="86"/>
      <c r="I260" s="100"/>
      <c r="J260" s="161"/>
    </row>
    <row r="261" spans="1:10" s="95" customFormat="1" ht="12.75" customHeight="1" collapsed="1">
      <c r="A261" s="101" t="s">
        <v>578</v>
      </c>
      <c r="B261" s="81" t="s">
        <v>291</v>
      </c>
      <c r="C261" s="82" t="s">
        <v>293</v>
      </c>
      <c r="D261" s="83" t="s">
        <v>190</v>
      </c>
      <c r="E261" s="84">
        <f>SUM(E262:E262)</f>
        <v>4</v>
      </c>
      <c r="F261" s="85">
        <v>0</v>
      </c>
      <c r="G261" s="103">
        <f>E261*F261</f>
        <v>0</v>
      </c>
      <c r="H261" s="86"/>
      <c r="I261" s="87">
        <f>E261*H261</f>
        <v>0</v>
      </c>
      <c r="J261" s="161" t="s">
        <v>127</v>
      </c>
    </row>
    <row r="262" spans="1:10" s="95" customFormat="1" ht="34.5" customHeight="1" hidden="1" outlineLevel="1">
      <c r="A262" s="101"/>
      <c r="B262" s="81"/>
      <c r="C262" s="160" t="s">
        <v>294</v>
      </c>
      <c r="D262" s="97"/>
      <c r="E262" s="90">
        <v>4</v>
      </c>
      <c r="F262" s="85"/>
      <c r="G262" s="103"/>
      <c r="H262" s="86"/>
      <c r="I262" s="100"/>
      <c r="J262" s="161"/>
    </row>
    <row r="263" spans="1:10" s="95" customFormat="1" ht="12.75" customHeight="1" collapsed="1">
      <c r="A263" s="101" t="s">
        <v>579</v>
      </c>
      <c r="B263" s="81" t="s">
        <v>295</v>
      </c>
      <c r="C263" s="82" t="s">
        <v>296</v>
      </c>
      <c r="D263" s="83" t="s">
        <v>190</v>
      </c>
      <c r="E263" s="84">
        <f>SUM(E264:E264)</f>
        <v>15</v>
      </c>
      <c r="F263" s="85">
        <v>0</v>
      </c>
      <c r="G263" s="103">
        <f>E263*F263</f>
        <v>0</v>
      </c>
      <c r="H263" s="86"/>
      <c r="I263" s="87">
        <f>E263*H263</f>
        <v>0</v>
      </c>
      <c r="J263" s="161" t="s">
        <v>127</v>
      </c>
    </row>
    <row r="264" spans="1:10" s="95" customFormat="1" ht="34.5" customHeight="1" hidden="1" outlineLevel="1">
      <c r="A264" s="101"/>
      <c r="B264" s="81"/>
      <c r="C264" s="160" t="s">
        <v>297</v>
      </c>
      <c r="D264" s="97"/>
      <c r="E264" s="90">
        <v>15</v>
      </c>
      <c r="F264" s="85"/>
      <c r="G264" s="103"/>
      <c r="H264" s="86"/>
      <c r="I264" s="100"/>
      <c r="J264" s="161"/>
    </row>
    <row r="265" spans="1:10" s="95" customFormat="1" ht="12.75" customHeight="1" collapsed="1">
      <c r="A265" s="101" t="s">
        <v>580</v>
      </c>
      <c r="B265" s="81" t="s">
        <v>264</v>
      </c>
      <c r="C265" s="82" t="s">
        <v>263</v>
      </c>
      <c r="D265" s="83" t="s">
        <v>72</v>
      </c>
      <c r="E265" s="84">
        <f>SUM(E266:E266)</f>
        <v>95</v>
      </c>
      <c r="F265" s="85">
        <v>0</v>
      </c>
      <c r="G265" s="103">
        <f>E265*F265</f>
        <v>0</v>
      </c>
      <c r="H265" s="86"/>
      <c r="I265" s="87">
        <f>E265*H265</f>
        <v>0</v>
      </c>
      <c r="J265" s="161" t="s">
        <v>127</v>
      </c>
    </row>
    <row r="266" spans="1:10" s="95" customFormat="1" ht="12.75" customHeight="1" hidden="1" outlineLevel="1">
      <c r="A266" s="101"/>
      <c r="B266" s="81"/>
      <c r="C266" s="114" t="s">
        <v>265</v>
      </c>
      <c r="D266" s="97"/>
      <c r="E266" s="90">
        <v>95</v>
      </c>
      <c r="F266" s="85"/>
      <c r="G266" s="103"/>
      <c r="H266" s="86"/>
      <c r="I266" s="100"/>
      <c r="J266" s="161"/>
    </row>
    <row r="267" spans="1:10" s="95" customFormat="1" ht="12.75" customHeight="1" collapsed="1">
      <c r="A267" s="101" t="s">
        <v>581</v>
      </c>
      <c r="B267" s="81" t="s">
        <v>475</v>
      </c>
      <c r="C267" s="82" t="s">
        <v>474</v>
      </c>
      <c r="D267" s="83" t="s">
        <v>72</v>
      </c>
      <c r="E267" s="84">
        <f>SUM(E268:E268)</f>
        <v>40</v>
      </c>
      <c r="F267" s="85">
        <v>0</v>
      </c>
      <c r="G267" s="103">
        <f>E267*F267</f>
        <v>0</v>
      </c>
      <c r="H267" s="86"/>
      <c r="I267" s="87">
        <f>E267*H267</f>
        <v>0</v>
      </c>
      <c r="J267" s="161" t="s">
        <v>127</v>
      </c>
    </row>
    <row r="268" spans="1:10" s="95" customFormat="1" ht="12.75" customHeight="1" hidden="1" outlineLevel="1">
      <c r="A268" s="101"/>
      <c r="B268" s="81"/>
      <c r="C268" s="114" t="s">
        <v>476</v>
      </c>
      <c r="D268" s="97"/>
      <c r="E268" s="90">
        <v>40</v>
      </c>
      <c r="F268" s="85"/>
      <c r="G268" s="103"/>
      <c r="H268" s="86"/>
      <c r="I268" s="100"/>
      <c r="J268" s="161"/>
    </row>
    <row r="269" spans="1:10" s="95" customFormat="1" ht="12.75" customHeight="1" collapsed="1">
      <c r="A269" s="101" t="s">
        <v>582</v>
      </c>
      <c r="B269" s="81" t="s">
        <v>305</v>
      </c>
      <c r="C269" s="82" t="s">
        <v>306</v>
      </c>
      <c r="D269" s="83" t="s">
        <v>190</v>
      </c>
      <c r="E269" s="84">
        <f>SUM(E270:E271)</f>
        <v>2</v>
      </c>
      <c r="F269" s="85">
        <v>0.00176</v>
      </c>
      <c r="G269" s="103">
        <f>E269*F269</f>
        <v>0.00352</v>
      </c>
      <c r="H269" s="86"/>
      <c r="I269" s="87">
        <f>E269*H269</f>
        <v>0</v>
      </c>
      <c r="J269" s="161" t="s">
        <v>127</v>
      </c>
    </row>
    <row r="270" spans="1:10" s="95" customFormat="1" ht="12.75" customHeight="1" hidden="1" outlineLevel="1">
      <c r="A270" s="101"/>
      <c r="B270" s="81"/>
      <c r="C270" s="114" t="s">
        <v>307</v>
      </c>
      <c r="D270" s="147"/>
      <c r="E270" s="90">
        <v>0</v>
      </c>
      <c r="F270" s="85"/>
      <c r="G270" s="103"/>
      <c r="H270" s="86"/>
      <c r="I270" s="100"/>
      <c r="J270" s="161"/>
    </row>
    <row r="271" spans="1:10" s="95" customFormat="1" ht="11.25" hidden="1" outlineLevel="1">
      <c r="A271" s="101"/>
      <c r="B271" s="81"/>
      <c r="C271" s="114" t="s">
        <v>308</v>
      </c>
      <c r="D271" s="147"/>
      <c r="E271" s="90">
        <v>2</v>
      </c>
      <c r="F271" s="85"/>
      <c r="G271" s="103"/>
      <c r="H271" s="86"/>
      <c r="I271" s="100"/>
      <c r="J271" s="161"/>
    </row>
    <row r="272" spans="3:10" ht="11.25" collapsed="1">
      <c r="C272" s="93" t="str">
        <f>CONCATENATE(B253," celkem")</f>
        <v>95 celkem</v>
      </c>
      <c r="G272" s="111">
        <f>SUBTOTAL(9,G255:G266)</f>
        <v>0</v>
      </c>
      <c r="I272" s="94">
        <f>SUBTOTAL(9,I255:I271)</f>
        <v>0</v>
      </c>
      <c r="J272" s="161"/>
    </row>
    <row r="273" spans="3:10" ht="11.25">
      <c r="C273" s="93"/>
      <c r="G273" s="111"/>
      <c r="I273" s="112"/>
      <c r="J273" s="161"/>
    </row>
    <row r="274" spans="2:10" ht="11.25">
      <c r="B274" s="77" t="s">
        <v>8</v>
      </c>
      <c r="C274" s="78" t="s">
        <v>9</v>
      </c>
      <c r="J274" s="161"/>
    </row>
    <row r="275" ht="6" customHeight="1">
      <c r="J275" s="161"/>
    </row>
    <row r="276" spans="1:10" ht="12.75" customHeight="1">
      <c r="A276" s="101" t="s">
        <v>583</v>
      </c>
      <c r="B276" s="81" t="s">
        <v>266</v>
      </c>
      <c r="C276" s="82" t="s">
        <v>267</v>
      </c>
      <c r="D276" s="83" t="s">
        <v>10</v>
      </c>
      <c r="E276" s="84">
        <f>G296+G299+G290+G293</f>
        <v>37.036</v>
      </c>
      <c r="F276" s="85">
        <v>0</v>
      </c>
      <c r="G276" s="108" t="str">
        <f aca="true" t="shared" si="0" ref="G276:G283">FIXED(E276*F276,3,TRUE)</f>
        <v>0,000</v>
      </c>
      <c r="H276" s="86"/>
      <c r="I276" s="87">
        <f aca="true" t="shared" si="1" ref="I276:I283">E276*H276</f>
        <v>0</v>
      </c>
      <c r="J276" s="161" t="s">
        <v>372</v>
      </c>
    </row>
    <row r="277" spans="1:10" ht="12.75" customHeight="1">
      <c r="A277" s="101" t="s">
        <v>584</v>
      </c>
      <c r="B277" s="81" t="s">
        <v>268</v>
      </c>
      <c r="C277" s="82" t="s">
        <v>477</v>
      </c>
      <c r="D277" s="83" t="s">
        <v>10</v>
      </c>
      <c r="E277" s="84">
        <f>E276*6</f>
        <v>222.216</v>
      </c>
      <c r="F277" s="85">
        <v>0</v>
      </c>
      <c r="G277" s="108" t="str">
        <f t="shared" si="0"/>
        <v>0,000</v>
      </c>
      <c r="H277" s="86"/>
      <c r="I277" s="87">
        <f t="shared" si="1"/>
        <v>0</v>
      </c>
      <c r="J277" s="161" t="s">
        <v>372</v>
      </c>
    </row>
    <row r="278" spans="1:10" ht="12.75" customHeight="1">
      <c r="A278" s="101" t="s">
        <v>585</v>
      </c>
      <c r="B278" s="81" t="s">
        <v>269</v>
      </c>
      <c r="C278" s="82" t="s">
        <v>270</v>
      </c>
      <c r="D278" s="83" t="s">
        <v>10</v>
      </c>
      <c r="E278" s="84">
        <f>E276+G285+G287+G293</f>
        <v>89.268</v>
      </c>
      <c r="F278" s="85">
        <v>0</v>
      </c>
      <c r="G278" s="108" t="str">
        <f t="shared" si="0"/>
        <v>0,000</v>
      </c>
      <c r="H278" s="86"/>
      <c r="I278" s="87">
        <f t="shared" si="1"/>
        <v>0</v>
      </c>
      <c r="J278" s="161" t="s">
        <v>372</v>
      </c>
    </row>
    <row r="279" spans="1:10" ht="12.75" customHeight="1">
      <c r="A279" s="101" t="s">
        <v>586</v>
      </c>
      <c r="B279" s="81" t="s">
        <v>271</v>
      </c>
      <c r="C279" s="82" t="s">
        <v>272</v>
      </c>
      <c r="D279" s="83" t="s">
        <v>10</v>
      </c>
      <c r="E279" s="84">
        <f>E276*8</f>
        <v>296.288</v>
      </c>
      <c r="F279" s="85">
        <v>0</v>
      </c>
      <c r="G279" s="108" t="str">
        <f t="shared" si="0"/>
        <v>0,000</v>
      </c>
      <c r="H279" s="86"/>
      <c r="I279" s="87">
        <f t="shared" si="1"/>
        <v>0</v>
      </c>
      <c r="J279" s="161" t="s">
        <v>372</v>
      </c>
    </row>
    <row r="280" spans="1:10" ht="12.75" customHeight="1">
      <c r="A280" s="101" t="s">
        <v>587</v>
      </c>
      <c r="B280" s="81" t="s">
        <v>11</v>
      </c>
      <c r="C280" s="82" t="s">
        <v>12</v>
      </c>
      <c r="D280" s="83" t="s">
        <v>10</v>
      </c>
      <c r="E280" s="84">
        <f>E278</f>
        <v>89.268</v>
      </c>
      <c r="F280" s="85">
        <v>0</v>
      </c>
      <c r="G280" s="108" t="str">
        <f t="shared" si="0"/>
        <v>0,000</v>
      </c>
      <c r="H280" s="86"/>
      <c r="I280" s="87">
        <f t="shared" si="1"/>
        <v>0</v>
      </c>
      <c r="J280" s="161" t="s">
        <v>372</v>
      </c>
    </row>
    <row r="281" spans="1:10" ht="12.75" customHeight="1">
      <c r="A281" s="101" t="s">
        <v>588</v>
      </c>
      <c r="B281" s="81" t="s">
        <v>153</v>
      </c>
      <c r="C281" s="82" t="s">
        <v>154</v>
      </c>
      <c r="D281" s="83" t="s">
        <v>10</v>
      </c>
      <c r="E281" s="84">
        <f>E278*12</f>
        <v>1071.216</v>
      </c>
      <c r="F281" s="85">
        <v>0</v>
      </c>
      <c r="G281" s="108" t="str">
        <f t="shared" si="0"/>
        <v>0,000</v>
      </c>
      <c r="H281" s="86"/>
      <c r="I281" s="87">
        <f t="shared" si="1"/>
        <v>0</v>
      </c>
      <c r="J281" s="161" t="s">
        <v>372</v>
      </c>
    </row>
    <row r="282" spans="1:10" ht="12.75" customHeight="1">
      <c r="A282" s="101" t="s">
        <v>589</v>
      </c>
      <c r="B282" s="81" t="s">
        <v>478</v>
      </c>
      <c r="C282" s="82" t="s">
        <v>479</v>
      </c>
      <c r="D282" s="83" t="s">
        <v>10</v>
      </c>
      <c r="E282" s="84">
        <f>E276</f>
        <v>37.036</v>
      </c>
      <c r="F282" s="85">
        <v>0</v>
      </c>
      <c r="G282" s="108" t="str">
        <f>FIXED(E282*F282,3,TRUE)</f>
        <v>0,000</v>
      </c>
      <c r="H282" s="86"/>
      <c r="I282" s="87">
        <f>E282*H282</f>
        <v>0</v>
      </c>
      <c r="J282" s="161" t="s">
        <v>372</v>
      </c>
    </row>
    <row r="283" spans="1:10" ht="12.75" customHeight="1">
      <c r="A283" s="101" t="s">
        <v>590</v>
      </c>
      <c r="B283" s="91" t="s">
        <v>480</v>
      </c>
      <c r="C283" s="82" t="s">
        <v>121</v>
      </c>
      <c r="D283" s="83" t="s">
        <v>10</v>
      </c>
      <c r="E283" s="84">
        <f>E276</f>
        <v>37.036</v>
      </c>
      <c r="F283" s="85">
        <v>0</v>
      </c>
      <c r="G283" s="108" t="str">
        <f t="shared" si="0"/>
        <v>0,000</v>
      </c>
      <c r="H283" s="86"/>
      <c r="I283" s="87">
        <f t="shared" si="1"/>
        <v>0</v>
      </c>
      <c r="J283" s="161" t="s">
        <v>372</v>
      </c>
    </row>
    <row r="284" spans="1:10" s="95" customFormat="1" ht="25.5" customHeight="1" hidden="1" outlineLevel="1">
      <c r="A284" s="101"/>
      <c r="B284" s="107"/>
      <c r="C284" s="296" t="s">
        <v>144</v>
      </c>
      <c r="D284" s="296"/>
      <c r="E284" s="296"/>
      <c r="F284" s="102"/>
      <c r="G284" s="108"/>
      <c r="H284" s="104"/>
      <c r="I284" s="100"/>
      <c r="J284" s="162"/>
    </row>
    <row r="285" spans="1:10" ht="12.75" customHeight="1" collapsed="1">
      <c r="A285" s="101" t="s">
        <v>591</v>
      </c>
      <c r="B285" s="91" t="s">
        <v>277</v>
      </c>
      <c r="C285" s="82" t="s">
        <v>121</v>
      </c>
      <c r="D285" s="83" t="s">
        <v>10</v>
      </c>
      <c r="E285" s="84">
        <f>E13*1.7</f>
        <v>14.1168</v>
      </c>
      <c r="F285" s="85">
        <v>1.3</v>
      </c>
      <c r="G285" s="108" t="str">
        <f>FIXED(E285*F285,3,TRUE)</f>
        <v>18,352</v>
      </c>
      <c r="H285" s="86"/>
      <c r="I285" s="87">
        <f>E285*H285</f>
        <v>0</v>
      </c>
      <c r="J285" s="161" t="s">
        <v>127</v>
      </c>
    </row>
    <row r="286" spans="1:10" s="95" customFormat="1" ht="24.75" customHeight="1" hidden="1" outlineLevel="1">
      <c r="A286" s="101"/>
      <c r="B286" s="107"/>
      <c r="C286" s="296" t="s">
        <v>144</v>
      </c>
      <c r="D286" s="296"/>
      <c r="E286" s="296"/>
      <c r="F286" s="102"/>
      <c r="G286" s="108"/>
      <c r="H286" s="104"/>
      <c r="I286" s="100"/>
      <c r="J286" s="162"/>
    </row>
    <row r="287" spans="1:10" ht="12.75" customHeight="1" collapsed="1">
      <c r="A287" s="101" t="s">
        <v>592</v>
      </c>
      <c r="B287" s="91" t="s">
        <v>280</v>
      </c>
      <c r="C287" s="82" t="s">
        <v>121</v>
      </c>
      <c r="D287" s="83" t="s">
        <v>10</v>
      </c>
      <c r="E287" s="84">
        <f>E289</f>
        <v>17.04484</v>
      </c>
      <c r="F287" s="85">
        <v>1</v>
      </c>
      <c r="G287" s="108" t="str">
        <f>FIXED(E287*F287,3,TRUE)</f>
        <v>17,045</v>
      </c>
      <c r="H287" s="86"/>
      <c r="I287" s="87">
        <f>E287*H287</f>
        <v>0</v>
      </c>
      <c r="J287" s="161" t="s">
        <v>127</v>
      </c>
    </row>
    <row r="288" spans="1:10" s="95" customFormat="1" ht="24.75" customHeight="1" hidden="1" outlineLevel="1">
      <c r="A288" s="101"/>
      <c r="B288" s="107"/>
      <c r="C288" s="296" t="s">
        <v>144</v>
      </c>
      <c r="D288" s="296"/>
      <c r="E288" s="296"/>
      <c r="F288" s="102"/>
      <c r="G288" s="108"/>
      <c r="H288" s="104"/>
      <c r="I288" s="100"/>
      <c r="J288" s="162"/>
    </row>
    <row r="289" spans="1:10" s="95" customFormat="1" ht="12.75" customHeight="1" hidden="1" outlineLevel="1">
      <c r="A289" s="101"/>
      <c r="B289" s="107"/>
      <c r="C289" s="157" t="s">
        <v>368</v>
      </c>
      <c r="D289" s="89"/>
      <c r="E289" s="90">
        <f>741.08*0.023</f>
        <v>17.04484</v>
      </c>
      <c r="F289" s="102"/>
      <c r="G289" s="108"/>
      <c r="H289" s="104"/>
      <c r="I289" s="100"/>
      <c r="J289" s="162"/>
    </row>
    <row r="290" spans="1:10" ht="12.75" customHeight="1" collapsed="1">
      <c r="A290" s="101" t="s">
        <v>593</v>
      </c>
      <c r="B290" s="91" t="s">
        <v>486</v>
      </c>
      <c r="C290" s="82" t="s">
        <v>121</v>
      </c>
      <c r="D290" s="83" t="s">
        <v>10</v>
      </c>
      <c r="E290" s="84">
        <f>E292</f>
        <v>14.58</v>
      </c>
      <c r="F290" s="85">
        <v>1</v>
      </c>
      <c r="G290" s="108" t="str">
        <f>FIXED(E290*F290,3,TRUE)</f>
        <v>14,580</v>
      </c>
      <c r="H290" s="86"/>
      <c r="I290" s="87">
        <f>E290*H290</f>
        <v>0</v>
      </c>
      <c r="J290" s="161" t="s">
        <v>127</v>
      </c>
    </row>
    <row r="291" spans="1:10" s="95" customFormat="1" ht="24.75" customHeight="1" hidden="1" outlineLevel="1">
      <c r="A291" s="101"/>
      <c r="B291" s="107"/>
      <c r="C291" s="296" t="s">
        <v>144</v>
      </c>
      <c r="D291" s="296"/>
      <c r="E291" s="296"/>
      <c r="F291" s="102"/>
      <c r="G291" s="108"/>
      <c r="H291" s="104"/>
      <c r="I291" s="100"/>
      <c r="J291" s="162"/>
    </row>
    <row r="292" spans="1:10" s="95" customFormat="1" ht="12.75" customHeight="1" hidden="1" outlineLevel="1">
      <c r="A292" s="101"/>
      <c r="B292" s="107"/>
      <c r="C292" s="166" t="s">
        <v>487</v>
      </c>
      <c r="D292" s="89"/>
      <c r="E292" s="90">
        <v>14.58</v>
      </c>
      <c r="F292" s="102"/>
      <c r="G292" s="108"/>
      <c r="H292" s="104"/>
      <c r="I292" s="100"/>
      <c r="J292" s="162"/>
    </row>
    <row r="293" spans="1:10" ht="12.75" customHeight="1" collapsed="1">
      <c r="A293" s="101" t="s">
        <v>594</v>
      </c>
      <c r="B293" s="91" t="s">
        <v>488</v>
      </c>
      <c r="C293" s="82" t="s">
        <v>367</v>
      </c>
      <c r="D293" s="83" t="s">
        <v>10</v>
      </c>
      <c r="E293" s="84">
        <f>E295</f>
        <v>16.835</v>
      </c>
      <c r="F293" s="85">
        <v>1</v>
      </c>
      <c r="G293" s="108" t="str">
        <f>FIXED(E293*F293,3,TRUE)</f>
        <v>16,835</v>
      </c>
      <c r="H293" s="86"/>
      <c r="I293" s="87">
        <f>E293*H293</f>
        <v>0</v>
      </c>
      <c r="J293" s="161" t="s">
        <v>127</v>
      </c>
    </row>
    <row r="294" spans="1:10" s="95" customFormat="1" ht="24.75" customHeight="1" hidden="1" outlineLevel="1">
      <c r="A294" s="101"/>
      <c r="B294" s="107"/>
      <c r="C294" s="296" t="s">
        <v>144</v>
      </c>
      <c r="D294" s="296"/>
      <c r="E294" s="296"/>
      <c r="F294" s="102"/>
      <c r="G294" s="108"/>
      <c r="H294" s="104"/>
      <c r="I294" s="100"/>
      <c r="J294" s="162"/>
    </row>
    <row r="295" spans="1:10" s="95" customFormat="1" ht="12.75" customHeight="1" hidden="1" outlineLevel="1">
      <c r="A295" s="101"/>
      <c r="B295" s="107"/>
      <c r="C295" s="166" t="s">
        <v>489</v>
      </c>
      <c r="D295" s="89"/>
      <c r="E295" s="90">
        <f>481*0.035*1</f>
        <v>16.835</v>
      </c>
      <c r="F295" s="102"/>
      <c r="G295" s="108"/>
      <c r="H295" s="104"/>
      <c r="I295" s="100"/>
      <c r="J295" s="162"/>
    </row>
    <row r="296" spans="1:10" ht="12.75" customHeight="1" collapsed="1">
      <c r="A296" s="101" t="s">
        <v>595</v>
      </c>
      <c r="B296" s="81" t="s">
        <v>481</v>
      </c>
      <c r="C296" s="82" t="s">
        <v>482</v>
      </c>
      <c r="D296" s="83" t="s">
        <v>10</v>
      </c>
      <c r="E296" s="84">
        <f>SUM(E298)</f>
        <v>8.802</v>
      </c>
      <c r="F296" s="85">
        <v>0.027</v>
      </c>
      <c r="G296" s="99" t="str">
        <f>FIXED(E296*F296,3,TRUE)</f>
        <v>0,238</v>
      </c>
      <c r="H296" s="86"/>
      <c r="I296" s="87">
        <f>E296*H296</f>
        <v>0</v>
      </c>
      <c r="J296" s="161" t="s">
        <v>127</v>
      </c>
    </row>
    <row r="297" spans="1:10" ht="24.75" customHeight="1" hidden="1" outlineLevel="1">
      <c r="A297" s="101"/>
      <c r="B297" s="81"/>
      <c r="C297" s="296" t="s">
        <v>144</v>
      </c>
      <c r="D297" s="296"/>
      <c r="E297" s="296"/>
      <c r="F297" s="85"/>
      <c r="G297" s="108"/>
      <c r="H297" s="104"/>
      <c r="I297" s="100"/>
      <c r="J297" s="161"/>
    </row>
    <row r="298" spans="1:10" ht="12.75" customHeight="1" hidden="1" outlineLevel="1">
      <c r="A298" s="101"/>
      <c r="B298" s="81"/>
      <c r="C298" s="150" t="s">
        <v>483</v>
      </c>
      <c r="D298" s="106"/>
      <c r="E298" s="90">
        <f>326*0.027</f>
        <v>8.802</v>
      </c>
      <c r="F298" s="85"/>
      <c r="G298" s="108"/>
      <c r="H298" s="86"/>
      <c r="I298" s="100"/>
      <c r="J298" s="161"/>
    </row>
    <row r="299" spans="1:10" s="95" customFormat="1" ht="12.75" customHeight="1" collapsed="1">
      <c r="A299" s="101" t="s">
        <v>6</v>
      </c>
      <c r="B299" s="81" t="s">
        <v>168</v>
      </c>
      <c r="C299" s="82" t="s">
        <v>169</v>
      </c>
      <c r="D299" s="83" t="s">
        <v>72</v>
      </c>
      <c r="E299" s="84">
        <f>E301</f>
        <v>60.48</v>
      </c>
      <c r="F299" s="85">
        <v>0.089</v>
      </c>
      <c r="G299" s="99" t="str">
        <f>FIXED(E299*F299,3,TRUE)</f>
        <v>5,383</v>
      </c>
      <c r="H299" s="86"/>
      <c r="I299" s="87">
        <f>E299*H299</f>
        <v>0</v>
      </c>
      <c r="J299" s="161" t="s">
        <v>372</v>
      </c>
    </row>
    <row r="300" spans="1:10" s="95" customFormat="1" ht="12.75" customHeight="1" hidden="1" outlineLevel="1">
      <c r="A300" s="101"/>
      <c r="B300" s="81"/>
      <c r="C300" s="150" t="s">
        <v>485</v>
      </c>
      <c r="D300" s="106"/>
      <c r="E300" s="90">
        <v>0</v>
      </c>
      <c r="F300" s="85"/>
      <c r="G300" s="108"/>
      <c r="H300" s="86"/>
      <c r="I300" s="100"/>
      <c r="J300" s="161"/>
    </row>
    <row r="301" spans="1:10" s="95" customFormat="1" ht="12.75" customHeight="1" hidden="1" outlineLevel="1">
      <c r="A301" s="101"/>
      <c r="B301" s="98"/>
      <c r="C301" s="150" t="s">
        <v>484</v>
      </c>
      <c r="D301" s="89"/>
      <c r="E301" s="90">
        <f>(108*(3.6+2*1))*0.1</f>
        <v>60.48</v>
      </c>
      <c r="F301" s="102"/>
      <c r="G301" s="108"/>
      <c r="H301" s="104"/>
      <c r="I301" s="100"/>
      <c r="J301" s="162"/>
    </row>
    <row r="302" spans="3:10" ht="12.75" customHeight="1" collapsed="1">
      <c r="C302" s="93" t="str">
        <f>CONCATENATE(B274," celkem")</f>
        <v>96 celkem</v>
      </c>
      <c r="G302" s="111"/>
      <c r="I302" s="94">
        <f>SUBTOTAL(9,I276:I301)</f>
        <v>0</v>
      </c>
      <c r="J302" s="161"/>
    </row>
    <row r="303" ht="13.5" customHeight="1">
      <c r="J303" s="161"/>
    </row>
    <row r="304" spans="2:10" ht="12" customHeight="1">
      <c r="B304" s="77" t="s">
        <v>0</v>
      </c>
      <c r="C304" s="78" t="s">
        <v>1</v>
      </c>
      <c r="J304" s="161"/>
    </row>
    <row r="305" ht="5.25" customHeight="1">
      <c r="J305" s="161"/>
    </row>
    <row r="306" spans="1:10" ht="11.25">
      <c r="A306" s="101" t="s">
        <v>260</v>
      </c>
      <c r="B306" s="81" t="s">
        <v>490</v>
      </c>
      <c r="C306" s="82" t="s">
        <v>491</v>
      </c>
      <c r="D306" s="83" t="s">
        <v>10</v>
      </c>
      <c r="E306" s="84">
        <f>G27+G185+G272+G41+G55+G217+G251+G34+G173</f>
        <v>210.60757534750002</v>
      </c>
      <c r="F306" s="85">
        <v>0</v>
      </c>
      <c r="G306" s="103">
        <f>E306*F306</f>
        <v>0</v>
      </c>
      <c r="H306" s="86"/>
      <c r="I306" s="87">
        <f>E306*H306</f>
        <v>0</v>
      </c>
      <c r="J306" s="161" t="s">
        <v>372</v>
      </c>
    </row>
    <row r="307" spans="3:10" ht="11.25">
      <c r="C307" s="93" t="str">
        <f>CONCATENATE(B304," celkem")</f>
        <v>99 celkem</v>
      </c>
      <c r="G307" s="111">
        <f>SUBTOTAL(9,G306:G306)</f>
        <v>0</v>
      </c>
      <c r="I307" s="94">
        <f>SUBTOTAL(9,I306:I306)</f>
        <v>0</v>
      </c>
      <c r="J307" s="161"/>
    </row>
    <row r="308" spans="3:10" ht="11.25">
      <c r="C308" s="93"/>
      <c r="G308" s="111"/>
      <c r="I308" s="112"/>
      <c r="J308" s="161"/>
    </row>
    <row r="309" spans="2:10" ht="11.25">
      <c r="B309" s="77" t="s">
        <v>151</v>
      </c>
      <c r="C309" s="78" t="s">
        <v>152</v>
      </c>
      <c r="G309" s="111"/>
      <c r="I309" s="112"/>
      <c r="J309" s="161"/>
    </row>
    <row r="310" spans="7:10" ht="5.25" customHeight="1">
      <c r="G310" s="95"/>
      <c r="J310" s="161"/>
    </row>
    <row r="311" spans="1:10" ht="12.75" customHeight="1">
      <c r="A311" s="101" t="s">
        <v>8</v>
      </c>
      <c r="B311" s="164" t="s">
        <v>363</v>
      </c>
      <c r="C311" s="82" t="s">
        <v>365</v>
      </c>
      <c r="D311" s="83" t="s">
        <v>94</v>
      </c>
      <c r="E311" s="84">
        <v>1</v>
      </c>
      <c r="F311" s="85">
        <v>0</v>
      </c>
      <c r="G311" s="103">
        <f>E311*F311</f>
        <v>0</v>
      </c>
      <c r="H311" s="86"/>
      <c r="I311" s="87">
        <f>E311*H311</f>
        <v>0</v>
      </c>
      <c r="J311" s="161"/>
    </row>
    <row r="312" spans="1:10" ht="12.75" customHeight="1" hidden="1" outlineLevel="1">
      <c r="A312" s="101"/>
      <c r="B312" s="81"/>
      <c r="C312" s="131" t="s">
        <v>362</v>
      </c>
      <c r="D312" s="88"/>
      <c r="E312" s="139"/>
      <c r="F312" s="85"/>
      <c r="G312" s="103"/>
      <c r="H312" s="104"/>
      <c r="I312" s="100"/>
      <c r="J312" s="161"/>
    </row>
    <row r="313" spans="1:10" ht="12.75" customHeight="1" collapsed="1">
      <c r="A313" s="101" t="s">
        <v>596</v>
      </c>
      <c r="B313" s="165" t="s">
        <v>364</v>
      </c>
      <c r="C313" s="82" t="s">
        <v>366</v>
      </c>
      <c r="D313" s="83" t="s">
        <v>94</v>
      </c>
      <c r="E313" s="84">
        <v>1</v>
      </c>
      <c r="F313" s="85">
        <v>0</v>
      </c>
      <c r="G313" s="103">
        <f>E313*F313</f>
        <v>0</v>
      </c>
      <c r="H313" s="86"/>
      <c r="I313" s="87">
        <f>E313*H313</f>
        <v>0</v>
      </c>
      <c r="J313" s="161"/>
    </row>
    <row r="314" spans="2:10" ht="12.75" customHeight="1" hidden="1" outlineLevel="1">
      <c r="B314" s="81"/>
      <c r="C314" s="131" t="s">
        <v>362</v>
      </c>
      <c r="D314" s="88"/>
      <c r="E314" s="139"/>
      <c r="F314" s="85"/>
      <c r="G314" s="103"/>
      <c r="H314" s="104"/>
      <c r="I314" s="100"/>
      <c r="J314" s="161"/>
    </row>
    <row r="315" spans="1:10" ht="12.75" customHeight="1" collapsed="1">
      <c r="A315" s="105">
        <v>98</v>
      </c>
      <c r="B315" s="165" t="s">
        <v>310</v>
      </c>
      <c r="C315" s="82" t="s">
        <v>366</v>
      </c>
      <c r="D315" s="83" t="s">
        <v>94</v>
      </c>
      <c r="E315" s="84">
        <v>1</v>
      </c>
      <c r="F315" s="85">
        <v>0</v>
      </c>
      <c r="G315" s="103">
        <f>E315*F315</f>
        <v>0</v>
      </c>
      <c r="H315" s="86"/>
      <c r="I315" s="87">
        <f>E315*H315</f>
        <v>0</v>
      </c>
      <c r="J315" s="161"/>
    </row>
    <row r="316" spans="2:10" ht="12.75" customHeight="1" hidden="1" outlineLevel="1">
      <c r="B316" s="81"/>
      <c r="C316" s="131" t="s">
        <v>362</v>
      </c>
      <c r="D316" s="88"/>
      <c r="E316" s="90"/>
      <c r="F316" s="85"/>
      <c r="G316" s="103"/>
      <c r="H316" s="104"/>
      <c r="I316" s="100"/>
      <c r="J316" s="161"/>
    </row>
    <row r="317" spans="3:10" ht="12.75" customHeight="1" collapsed="1">
      <c r="C317" s="93" t="str">
        <f>CONCATENATE(B309," celkem")</f>
        <v>A12 celkem</v>
      </c>
      <c r="G317" s="111">
        <v>0</v>
      </c>
      <c r="I317" s="94">
        <f>SUBTOTAL(9,I311:I315)</f>
        <v>0</v>
      </c>
      <c r="J317" s="161"/>
    </row>
    <row r="318" ht="12.75" customHeight="1">
      <c r="J318" s="161"/>
    </row>
    <row r="319" spans="2:10" ht="12.75" customHeight="1">
      <c r="B319" s="77" t="s">
        <v>90</v>
      </c>
      <c r="C319" s="78" t="s">
        <v>137</v>
      </c>
      <c r="J319" s="161"/>
    </row>
    <row r="320" ht="5.25" customHeight="1">
      <c r="J320" s="161"/>
    </row>
    <row r="321" spans="1:10" ht="12.75" customHeight="1">
      <c r="A321" s="101" t="s">
        <v>0</v>
      </c>
      <c r="B321" s="116" t="s">
        <v>92</v>
      </c>
      <c r="C321" s="117" t="s">
        <v>93</v>
      </c>
      <c r="D321" s="118" t="s">
        <v>94</v>
      </c>
      <c r="E321" s="119">
        <v>1</v>
      </c>
      <c r="H321" s="119"/>
      <c r="I321" s="120">
        <f>E321*H321</f>
        <v>0</v>
      </c>
      <c r="J321" s="161" t="s">
        <v>127</v>
      </c>
    </row>
    <row r="322" spans="1:10" ht="69.75" customHeight="1" hidden="1" outlineLevel="1">
      <c r="A322" s="101"/>
      <c r="B322" s="121"/>
      <c r="C322" s="316" t="s">
        <v>95</v>
      </c>
      <c r="D322" s="317"/>
      <c r="E322" s="317"/>
      <c r="F322" s="317"/>
      <c r="G322" s="317"/>
      <c r="H322" s="104"/>
      <c r="I322" s="100"/>
      <c r="J322" s="161"/>
    </row>
    <row r="323" spans="1:10" ht="12.75" customHeight="1" collapsed="1">
      <c r="A323" s="101" t="s">
        <v>597</v>
      </c>
      <c r="B323" s="122" t="s">
        <v>96</v>
      </c>
      <c r="C323" s="123" t="s">
        <v>87</v>
      </c>
      <c r="D323" s="124" t="s">
        <v>94</v>
      </c>
      <c r="E323" s="125">
        <v>1</v>
      </c>
      <c r="H323" s="125"/>
      <c r="I323" s="126">
        <f>E323*H323</f>
        <v>0</v>
      </c>
      <c r="J323" s="161" t="s">
        <v>127</v>
      </c>
    </row>
    <row r="324" spans="1:10" ht="38.25" customHeight="1" hidden="1" outlineLevel="1">
      <c r="A324" s="101"/>
      <c r="B324" s="121"/>
      <c r="C324" s="318" t="s">
        <v>97</v>
      </c>
      <c r="D324" s="319"/>
      <c r="E324" s="319"/>
      <c r="F324" s="319"/>
      <c r="G324" s="319"/>
      <c r="H324" s="104"/>
      <c r="I324" s="100"/>
      <c r="J324" s="161"/>
    </row>
    <row r="325" spans="1:10" ht="12.75" customHeight="1" collapsed="1">
      <c r="A325" s="101" t="s">
        <v>598</v>
      </c>
      <c r="B325" s="122" t="s">
        <v>98</v>
      </c>
      <c r="C325" s="123" t="s">
        <v>88</v>
      </c>
      <c r="D325" s="124" t="s">
        <v>94</v>
      </c>
      <c r="E325" s="125">
        <v>1</v>
      </c>
      <c r="H325" s="125"/>
      <c r="I325" s="126">
        <f>E325*H325</f>
        <v>0</v>
      </c>
      <c r="J325" s="161" t="s">
        <v>127</v>
      </c>
    </row>
    <row r="326" spans="1:10" ht="39" customHeight="1" hidden="1" outlineLevel="1">
      <c r="A326" s="101"/>
      <c r="B326" s="121"/>
      <c r="C326" s="316" t="s">
        <v>99</v>
      </c>
      <c r="D326" s="317"/>
      <c r="E326" s="317"/>
      <c r="F326" s="317"/>
      <c r="G326" s="317"/>
      <c r="H326" s="104"/>
      <c r="I326" s="100"/>
      <c r="J326" s="161"/>
    </row>
    <row r="327" spans="1:10" ht="12.75" customHeight="1" collapsed="1">
      <c r="A327" s="101" t="s">
        <v>599</v>
      </c>
      <c r="B327" s="122" t="s">
        <v>100</v>
      </c>
      <c r="C327" s="123" t="s">
        <v>101</v>
      </c>
      <c r="D327" s="124" t="s">
        <v>94</v>
      </c>
      <c r="E327" s="125">
        <v>1</v>
      </c>
      <c r="H327" s="125"/>
      <c r="I327" s="126">
        <f>E327*H327</f>
        <v>0</v>
      </c>
      <c r="J327" s="161" t="s">
        <v>127</v>
      </c>
    </row>
    <row r="328" spans="1:10" ht="22.5" customHeight="1" hidden="1" outlineLevel="1">
      <c r="A328" s="101"/>
      <c r="B328" s="121"/>
      <c r="C328" s="314" t="s">
        <v>102</v>
      </c>
      <c r="D328" s="315"/>
      <c r="E328" s="315"/>
      <c r="F328" s="315"/>
      <c r="G328" s="315"/>
      <c r="H328" s="104"/>
      <c r="I328" s="100"/>
      <c r="J328" s="161"/>
    </row>
    <row r="329" spans="1:10" ht="12" customHeight="1" collapsed="1">
      <c r="A329" s="101" t="s">
        <v>600</v>
      </c>
      <c r="B329" s="122" t="s">
        <v>103</v>
      </c>
      <c r="C329" s="123" t="s">
        <v>104</v>
      </c>
      <c r="D329" s="124" t="s">
        <v>94</v>
      </c>
      <c r="E329" s="125">
        <v>1</v>
      </c>
      <c r="H329" s="125"/>
      <c r="I329" s="126">
        <f>E329*H329</f>
        <v>0</v>
      </c>
      <c r="J329" s="161" t="s">
        <v>127</v>
      </c>
    </row>
    <row r="330" spans="2:10" ht="90.75" customHeight="1" hidden="1" outlineLevel="1">
      <c r="B330" s="121"/>
      <c r="C330" s="316" t="s">
        <v>143</v>
      </c>
      <c r="D330" s="317"/>
      <c r="E330" s="317"/>
      <c r="F330" s="317"/>
      <c r="G330" s="317"/>
      <c r="H330" s="104"/>
      <c r="I330" s="100"/>
      <c r="J330" s="161"/>
    </row>
    <row r="331" spans="3:10" ht="12" customHeight="1" collapsed="1">
      <c r="C331" s="93" t="str">
        <f>CONCATENATE(B319," celkem")</f>
        <v>ON celkem</v>
      </c>
      <c r="G331" s="111"/>
      <c r="I331" s="94">
        <f>SUBTOTAL(9,I321:I329)</f>
        <v>0</v>
      </c>
      <c r="J331" s="161"/>
    </row>
    <row r="332" ht="11.25">
      <c r="J332" s="161"/>
    </row>
    <row r="333" spans="2:10" ht="12.75">
      <c r="B333" s="133" t="s">
        <v>105</v>
      </c>
      <c r="C333" s="156" t="s">
        <v>106</v>
      </c>
      <c r="D333" s="127"/>
      <c r="E333" s="128"/>
      <c r="F333" s="128"/>
      <c r="G333" s="129"/>
      <c r="H333" s="104"/>
      <c r="I333" s="100"/>
      <c r="J333" s="161"/>
    </row>
    <row r="334" spans="1:10" ht="13.5" customHeight="1">
      <c r="A334" s="101" t="s">
        <v>601</v>
      </c>
      <c r="B334" s="122" t="s">
        <v>138</v>
      </c>
      <c r="C334" s="123" t="s">
        <v>107</v>
      </c>
      <c r="D334" s="124" t="s">
        <v>94</v>
      </c>
      <c r="E334" s="125">
        <v>1</v>
      </c>
      <c r="H334" s="125"/>
      <c r="I334" s="126">
        <f>E334*H334</f>
        <v>0</v>
      </c>
      <c r="J334" s="161" t="s">
        <v>127</v>
      </c>
    </row>
    <row r="335" spans="1:10" ht="13.5" customHeight="1" hidden="1" outlineLevel="1">
      <c r="A335" s="101"/>
      <c r="B335" s="121"/>
      <c r="C335" s="314" t="s">
        <v>108</v>
      </c>
      <c r="D335" s="315"/>
      <c r="E335" s="315"/>
      <c r="F335" s="315"/>
      <c r="G335" s="315"/>
      <c r="H335" s="104"/>
      <c r="I335" s="100"/>
      <c r="J335" s="161"/>
    </row>
    <row r="336" spans="1:10" ht="13.5" customHeight="1" hidden="1" outlineLevel="1">
      <c r="A336" s="101"/>
      <c r="B336" s="121"/>
      <c r="C336" s="314" t="s">
        <v>109</v>
      </c>
      <c r="D336" s="315"/>
      <c r="E336" s="315"/>
      <c r="F336" s="315"/>
      <c r="G336" s="315"/>
      <c r="H336" s="104"/>
      <c r="I336" s="100"/>
      <c r="J336" s="161"/>
    </row>
    <row r="337" spans="1:10" ht="13.5" customHeight="1" hidden="1" outlineLevel="1">
      <c r="A337" s="101"/>
      <c r="B337" s="121"/>
      <c r="C337" s="314" t="s">
        <v>110</v>
      </c>
      <c r="D337" s="315"/>
      <c r="E337" s="315"/>
      <c r="F337" s="315"/>
      <c r="G337" s="315"/>
      <c r="H337" s="104"/>
      <c r="I337" s="100"/>
      <c r="J337" s="161"/>
    </row>
    <row r="338" spans="1:10" ht="13.5" customHeight="1" hidden="1" outlineLevel="1">
      <c r="A338" s="101"/>
      <c r="B338" s="121"/>
      <c r="C338" s="314" t="s">
        <v>111</v>
      </c>
      <c r="D338" s="315"/>
      <c r="E338" s="315"/>
      <c r="F338" s="315"/>
      <c r="G338" s="315"/>
      <c r="H338" s="104"/>
      <c r="I338" s="100"/>
      <c r="J338" s="161"/>
    </row>
    <row r="339" spans="1:10" ht="13.5" customHeight="1" collapsed="1">
      <c r="A339" s="101" t="s">
        <v>602</v>
      </c>
      <c r="B339" s="122" t="s">
        <v>139</v>
      </c>
      <c r="C339" s="123" t="s">
        <v>112</v>
      </c>
      <c r="D339" s="124" t="s">
        <v>94</v>
      </c>
      <c r="E339" s="125">
        <v>1</v>
      </c>
      <c r="H339" s="125"/>
      <c r="I339" s="126">
        <f>E339*H339</f>
        <v>0</v>
      </c>
      <c r="J339" s="161" t="s">
        <v>127</v>
      </c>
    </row>
    <row r="340" spans="1:10" ht="13.5" customHeight="1" hidden="1" outlineLevel="1">
      <c r="A340" s="101"/>
      <c r="B340" s="121"/>
      <c r="C340" s="312" t="s">
        <v>113</v>
      </c>
      <c r="D340" s="313"/>
      <c r="E340" s="313"/>
      <c r="F340" s="313"/>
      <c r="G340" s="313"/>
      <c r="H340" s="104"/>
      <c r="I340" s="100"/>
      <c r="J340" s="161"/>
    </row>
    <row r="341" spans="1:10" ht="13.5" customHeight="1" hidden="1" outlineLevel="1">
      <c r="A341" s="101"/>
      <c r="B341" s="121"/>
      <c r="C341" s="312" t="s">
        <v>114</v>
      </c>
      <c r="D341" s="313"/>
      <c r="E341" s="313"/>
      <c r="F341" s="313"/>
      <c r="G341" s="313"/>
      <c r="H341" s="104"/>
      <c r="I341" s="100"/>
      <c r="J341" s="161"/>
    </row>
    <row r="342" spans="1:10" ht="13.5" customHeight="1" hidden="1" outlineLevel="1">
      <c r="A342" s="101"/>
      <c r="B342" s="121"/>
      <c r="C342" s="312" t="s">
        <v>115</v>
      </c>
      <c r="D342" s="313"/>
      <c r="E342" s="313"/>
      <c r="F342" s="313"/>
      <c r="G342" s="313"/>
      <c r="H342" s="104"/>
      <c r="I342" s="100"/>
      <c r="J342" s="161"/>
    </row>
    <row r="343" spans="1:10" ht="13.5" customHeight="1" hidden="1" outlineLevel="1">
      <c r="A343" s="101"/>
      <c r="B343" s="121"/>
      <c r="C343" s="312" t="s">
        <v>116</v>
      </c>
      <c r="D343" s="313"/>
      <c r="E343" s="313"/>
      <c r="F343" s="313"/>
      <c r="G343" s="313"/>
      <c r="H343" s="104"/>
      <c r="I343" s="100"/>
      <c r="J343" s="161"/>
    </row>
    <row r="344" spans="1:10" ht="13.5" customHeight="1" collapsed="1">
      <c r="A344" s="101" t="s">
        <v>603</v>
      </c>
      <c r="B344" s="122" t="s">
        <v>140</v>
      </c>
      <c r="C344" s="123" t="s">
        <v>117</v>
      </c>
      <c r="D344" s="124" t="s">
        <v>94</v>
      </c>
      <c r="E344" s="125">
        <v>1</v>
      </c>
      <c r="H344" s="125"/>
      <c r="I344" s="126">
        <f>E344*H344</f>
        <v>0</v>
      </c>
      <c r="J344" s="161" t="s">
        <v>127</v>
      </c>
    </row>
    <row r="345" spans="2:10" ht="13.5" customHeight="1" hidden="1" outlineLevel="1">
      <c r="B345" s="121"/>
      <c r="C345" s="312" t="s">
        <v>118</v>
      </c>
      <c r="D345" s="313"/>
      <c r="E345" s="313"/>
      <c r="F345" s="313"/>
      <c r="G345" s="313"/>
      <c r="J345" s="161"/>
    </row>
    <row r="346" spans="2:10" ht="13.5" customHeight="1" hidden="1" outlineLevel="1">
      <c r="B346" s="121"/>
      <c r="C346" s="312" t="s">
        <v>119</v>
      </c>
      <c r="D346" s="313"/>
      <c r="E346" s="313"/>
      <c r="F346" s="313"/>
      <c r="G346" s="313"/>
      <c r="H346" s="86"/>
      <c r="I346" s="100"/>
      <c r="J346" s="161"/>
    </row>
    <row r="347" spans="3:10" ht="13.5" customHeight="1" collapsed="1">
      <c r="C347" s="93" t="str">
        <f>CONCATENATE(B333," celkem")</f>
        <v>VN celkem</v>
      </c>
      <c r="G347" s="111">
        <f>SUBTOTAL(9,G343:G343)</f>
        <v>0</v>
      </c>
      <c r="I347" s="94">
        <f>SUBTOTAL(9,I334:I345)</f>
        <v>0</v>
      </c>
      <c r="J347" s="161"/>
    </row>
  </sheetData>
  <sheetProtection/>
  <mergeCells count="32">
    <mergeCell ref="C335:G335"/>
    <mergeCell ref="C322:G322"/>
    <mergeCell ref="C342:G342"/>
    <mergeCell ref="C343:G343"/>
    <mergeCell ref="C336:G336"/>
    <mergeCell ref="C345:G345"/>
    <mergeCell ref="C294:E294"/>
    <mergeCell ref="C297:E297"/>
    <mergeCell ref="C328:G328"/>
    <mergeCell ref="C330:G330"/>
    <mergeCell ref="C326:G326"/>
    <mergeCell ref="C324:G324"/>
    <mergeCell ref="C105:D105"/>
    <mergeCell ref="A1:A2"/>
    <mergeCell ref="B1:B2"/>
    <mergeCell ref="C346:G346"/>
    <mergeCell ref="C337:G337"/>
    <mergeCell ref="C338:G338"/>
    <mergeCell ref="C340:G340"/>
    <mergeCell ref="C341:G341"/>
    <mergeCell ref="C288:E288"/>
    <mergeCell ref="C291:E291"/>
    <mergeCell ref="C286:E286"/>
    <mergeCell ref="H1:I1"/>
    <mergeCell ref="J1:J2"/>
    <mergeCell ref="D1:D2"/>
    <mergeCell ref="F1:F2"/>
    <mergeCell ref="G1:G2"/>
    <mergeCell ref="C1:C2"/>
    <mergeCell ref="E1:E2"/>
    <mergeCell ref="C284:E284"/>
    <mergeCell ref="C99:D99"/>
  </mergeCells>
  <printOptions/>
  <pageMargins left="0.8267716535433072" right="0.31496062992125984" top="0.7874015748031497" bottom="0.6299212598425197" header="0.4724409448818898" footer="0.35433070866141736"/>
  <pageSetup horizontalDpi="600" verticalDpi="600" orientation="portrait" paperSize="9" r:id="rId1"/>
  <headerFooter alignWithMargins="0">
    <oddHeader>&amp;L&amp;9Kopřivnice, Česká 320&amp;C&amp;"Arial CE,Tučné"&amp;12VÝKAZ VÝMĚR  NEZPŮSOBILÉ&amp;R&amp;9Revitalizace objektu</oddHeader>
    <oddFooter>&amp;R&amp;8Strana&amp;P z &amp;N stran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="115" zoomScaleNormal="115" workbookViewId="0" topLeftCell="A1">
      <selection activeCell="E1" sqref="E1:E2"/>
    </sheetView>
  </sheetViews>
  <sheetFormatPr defaultColWidth="9.00390625" defaultRowHeight="12.75" outlineLevelRow="1"/>
  <cols>
    <col min="1" max="1" width="4.75390625" style="0" customWidth="1"/>
    <col min="2" max="2" width="12.875" style="0" customWidth="1"/>
    <col min="3" max="3" width="36.00390625" style="0" customWidth="1"/>
    <col min="4" max="4" width="7.125" style="0" customWidth="1"/>
    <col min="6" max="9" width="0" style="0" hidden="1" customWidth="1"/>
    <col min="10" max="10" width="8.625" style="0" hidden="1" customWidth="1"/>
  </cols>
  <sheetData>
    <row r="1" spans="1:10" s="69" customFormat="1" ht="13.5" customHeight="1">
      <c r="A1" s="320"/>
      <c r="B1" s="307" t="s">
        <v>89</v>
      </c>
      <c r="C1" s="301" t="s">
        <v>15</v>
      </c>
      <c r="D1" s="301" t="s">
        <v>86</v>
      </c>
      <c r="E1" s="307" t="s">
        <v>22</v>
      </c>
      <c r="F1" s="303" t="s">
        <v>84</v>
      </c>
      <c r="G1" s="305" t="s">
        <v>85</v>
      </c>
      <c r="H1" s="297" t="s">
        <v>125</v>
      </c>
      <c r="I1" s="298"/>
      <c r="J1" s="299" t="s">
        <v>126</v>
      </c>
    </row>
    <row r="2" spans="1:10" s="69" customFormat="1" ht="15" customHeight="1">
      <c r="A2" s="321"/>
      <c r="B2" s="308"/>
      <c r="C2" s="302"/>
      <c r="D2" s="302"/>
      <c r="E2" s="308"/>
      <c r="F2" s="304"/>
      <c r="G2" s="306"/>
      <c r="H2" s="140" t="s">
        <v>14</v>
      </c>
      <c r="I2" s="145" t="s">
        <v>17</v>
      </c>
      <c r="J2" s="300"/>
    </row>
    <row r="3" spans="1:10" s="69" customFormat="1" ht="3" customHeight="1" thickBot="1">
      <c r="A3" s="70"/>
      <c r="B3" s="71"/>
      <c r="C3" s="72"/>
      <c r="D3" s="73"/>
      <c r="E3" s="73"/>
      <c r="F3" s="74"/>
      <c r="G3" s="74"/>
      <c r="H3" s="74"/>
      <c r="I3" s="75"/>
      <c r="J3" s="76"/>
    </row>
    <row r="4" spans="1:10" s="69" customFormat="1" ht="14.25" customHeight="1">
      <c r="A4" s="76"/>
      <c r="B4" s="77" t="s">
        <v>341</v>
      </c>
      <c r="C4" s="78" t="s">
        <v>342</v>
      </c>
      <c r="D4" s="79"/>
      <c r="J4" s="76"/>
    </row>
    <row r="5" spans="1:10" s="69" customFormat="1" ht="6" customHeight="1">
      <c r="A5" s="76"/>
      <c r="C5" s="80"/>
      <c r="D5" s="76"/>
      <c r="J5" s="76"/>
    </row>
    <row r="6" spans="1:10" s="69" customFormat="1" ht="12.75" customHeight="1">
      <c r="A6" s="101" t="s">
        <v>70</v>
      </c>
      <c r="B6" s="91" t="s">
        <v>339</v>
      </c>
      <c r="C6" s="163" t="s">
        <v>340</v>
      </c>
      <c r="D6" s="83" t="s">
        <v>75</v>
      </c>
      <c r="E6" s="84">
        <f>SUM(E8:E8)</f>
        <v>15.5</v>
      </c>
      <c r="F6" s="85">
        <v>0</v>
      </c>
      <c r="G6" s="103">
        <f>E6*F6</f>
        <v>0</v>
      </c>
      <c r="H6" s="86"/>
      <c r="I6" s="87">
        <f>E6*H6</f>
        <v>0</v>
      </c>
      <c r="J6" s="161" t="s">
        <v>372</v>
      </c>
    </row>
    <row r="7" spans="1:10" s="69" customFormat="1" ht="12.75" customHeight="1" outlineLevel="1">
      <c r="A7" s="101"/>
      <c r="B7" s="91"/>
      <c r="C7" s="131" t="s">
        <v>343</v>
      </c>
      <c r="D7" s="89"/>
      <c r="E7" s="90">
        <v>0</v>
      </c>
      <c r="F7" s="85"/>
      <c r="G7" s="103"/>
      <c r="H7" s="86"/>
      <c r="I7" s="100"/>
      <c r="J7" s="161"/>
    </row>
    <row r="8" spans="1:10" s="69" customFormat="1" ht="12.75" customHeight="1" outlineLevel="1">
      <c r="A8" s="101"/>
      <c r="B8" s="91"/>
      <c r="C8" s="131" t="s">
        <v>344</v>
      </c>
      <c r="D8" s="89"/>
      <c r="E8" s="90">
        <v>15.5</v>
      </c>
      <c r="F8" s="85"/>
      <c r="G8" s="103"/>
      <c r="H8" s="86"/>
      <c r="I8" s="100"/>
      <c r="J8" s="161"/>
    </row>
    <row r="9" spans="1:10" s="69" customFormat="1" ht="12.75" customHeight="1">
      <c r="A9" s="101" t="s">
        <v>510</v>
      </c>
      <c r="B9" s="91" t="s">
        <v>345</v>
      </c>
      <c r="C9" s="82" t="s">
        <v>346</v>
      </c>
      <c r="D9" s="83" t="s">
        <v>72</v>
      </c>
      <c r="E9" s="84">
        <f>SUM(E10:E11)</f>
        <v>5.25</v>
      </c>
      <c r="F9" s="85">
        <v>0</v>
      </c>
      <c r="G9" s="103">
        <f>E9*F9</f>
        <v>0</v>
      </c>
      <c r="H9" s="86"/>
      <c r="I9" s="87">
        <f>E9*H9</f>
        <v>0</v>
      </c>
      <c r="J9" s="161" t="s">
        <v>372</v>
      </c>
    </row>
    <row r="10" spans="1:10" s="69" customFormat="1" ht="12.75" customHeight="1" outlineLevel="1">
      <c r="A10" s="101"/>
      <c r="B10" s="91"/>
      <c r="C10" s="131" t="s">
        <v>343</v>
      </c>
      <c r="D10" s="89"/>
      <c r="E10" s="90">
        <v>0</v>
      </c>
      <c r="F10" s="85"/>
      <c r="G10" s="103"/>
      <c r="H10" s="86"/>
      <c r="I10" s="100"/>
      <c r="J10" s="161"/>
    </row>
    <row r="11" spans="1:10" s="69" customFormat="1" ht="12.75" customHeight="1" outlineLevel="1">
      <c r="A11" s="101"/>
      <c r="B11" s="91"/>
      <c r="C11" s="131" t="s">
        <v>344</v>
      </c>
      <c r="D11" s="89"/>
      <c r="E11" s="90">
        <v>5.25</v>
      </c>
      <c r="F11" s="85"/>
      <c r="G11" s="103"/>
      <c r="H11" s="86"/>
      <c r="I11" s="100"/>
      <c r="J11" s="161"/>
    </row>
    <row r="12" spans="1:10" s="69" customFormat="1" ht="24" customHeight="1">
      <c r="A12" s="101" t="s">
        <v>511</v>
      </c>
      <c r="B12" s="91" t="s">
        <v>335</v>
      </c>
      <c r="C12" s="82" t="s">
        <v>336</v>
      </c>
      <c r="D12" s="83" t="s">
        <v>72</v>
      </c>
      <c r="E12" s="84">
        <f>SUM(E13:E14)</f>
        <v>5.25</v>
      </c>
      <c r="F12" s="85">
        <v>0</v>
      </c>
      <c r="G12" s="103">
        <f>E12*F12</f>
        <v>0</v>
      </c>
      <c r="H12" s="86"/>
      <c r="I12" s="87">
        <f>E12*H12</f>
        <v>0</v>
      </c>
      <c r="J12" s="161" t="s">
        <v>372</v>
      </c>
    </row>
    <row r="13" spans="1:10" s="69" customFormat="1" ht="12.75" customHeight="1" outlineLevel="1">
      <c r="A13" s="101"/>
      <c r="B13" s="91"/>
      <c r="C13" s="131" t="s">
        <v>343</v>
      </c>
      <c r="D13" s="89"/>
      <c r="E13" s="90">
        <v>0</v>
      </c>
      <c r="F13" s="85"/>
      <c r="G13" s="103"/>
      <c r="H13" s="86"/>
      <c r="I13" s="100"/>
      <c r="J13" s="161"/>
    </row>
    <row r="14" spans="1:10" s="69" customFormat="1" ht="12.75" customHeight="1" outlineLevel="1">
      <c r="A14" s="101"/>
      <c r="B14" s="91"/>
      <c r="C14" s="131" t="s">
        <v>344</v>
      </c>
      <c r="D14" s="89"/>
      <c r="E14" s="90">
        <v>5.25</v>
      </c>
      <c r="F14" s="85"/>
      <c r="G14" s="103"/>
      <c r="H14" s="86"/>
      <c r="I14" s="100"/>
      <c r="J14" s="161"/>
    </row>
    <row r="15" spans="1:10" s="69" customFormat="1" ht="12.75" customHeight="1">
      <c r="A15" s="101" t="s">
        <v>163</v>
      </c>
      <c r="B15" s="91" t="s">
        <v>337</v>
      </c>
      <c r="C15" s="82" t="s">
        <v>338</v>
      </c>
      <c r="D15" s="83" t="s">
        <v>128</v>
      </c>
      <c r="E15" s="84">
        <f>SUM(E16:E17)</f>
        <v>5.25</v>
      </c>
      <c r="F15" s="85">
        <v>0</v>
      </c>
      <c r="G15" s="103">
        <f>E15*F15</f>
        <v>0</v>
      </c>
      <c r="H15" s="86"/>
      <c r="I15" s="87">
        <f>E15*H15</f>
        <v>0</v>
      </c>
      <c r="J15" s="161" t="s">
        <v>372</v>
      </c>
    </row>
    <row r="16" spans="1:10" s="69" customFormat="1" ht="12.75" customHeight="1" outlineLevel="1">
      <c r="A16" s="101"/>
      <c r="B16" s="91"/>
      <c r="C16" s="131" t="s">
        <v>343</v>
      </c>
      <c r="D16" s="89"/>
      <c r="E16" s="90">
        <v>0</v>
      </c>
      <c r="F16" s="85"/>
      <c r="G16" s="103"/>
      <c r="H16" s="86"/>
      <c r="I16" s="100"/>
      <c r="J16" s="161"/>
    </row>
    <row r="17" spans="1:10" s="69" customFormat="1" ht="12.75" customHeight="1" outlineLevel="1">
      <c r="A17" s="101"/>
      <c r="B17" s="91"/>
      <c r="C17" s="131" t="s">
        <v>344</v>
      </c>
      <c r="D17" s="89"/>
      <c r="E17" s="90">
        <v>5.25</v>
      </c>
      <c r="F17" s="85"/>
      <c r="G17" s="103"/>
      <c r="H17" s="86"/>
      <c r="I17" s="100"/>
      <c r="J17" s="161"/>
    </row>
    <row r="18" spans="1:10" s="69" customFormat="1" ht="12.75" customHeight="1">
      <c r="A18" s="76"/>
      <c r="C18" s="93" t="str">
        <f>CONCATENATE(B4," celkem")</f>
        <v>46 celkem</v>
      </c>
      <c r="D18" s="76"/>
      <c r="G18" s="111">
        <f>SUBTOTAL(9,G6:G17)</f>
        <v>0</v>
      </c>
      <c r="I18" s="94">
        <f>SUBTOTAL(9,I6:I17)</f>
        <v>0</v>
      </c>
      <c r="J18" s="161"/>
    </row>
    <row r="19" spans="1:10" s="95" customFormat="1" ht="12.75" customHeight="1">
      <c r="A19" s="105"/>
      <c r="C19" s="115"/>
      <c r="D19" s="105"/>
      <c r="G19" s="111"/>
      <c r="I19" s="112"/>
      <c r="J19" s="162"/>
    </row>
    <row r="20" spans="1:10" s="69" customFormat="1" ht="14.25" customHeight="1">
      <c r="A20" s="76"/>
      <c r="B20" s="77" t="s">
        <v>347</v>
      </c>
      <c r="C20" s="78" t="s">
        <v>348</v>
      </c>
      <c r="D20" s="79"/>
      <c r="J20" s="76"/>
    </row>
    <row r="21" spans="1:10" s="69" customFormat="1" ht="6" customHeight="1">
      <c r="A21" s="76"/>
      <c r="C21" s="80"/>
      <c r="D21" s="76"/>
      <c r="J21" s="76"/>
    </row>
    <row r="22" spans="1:10" s="69" customFormat="1" ht="12.75" customHeight="1">
      <c r="A22" s="101" t="s">
        <v>512</v>
      </c>
      <c r="B22" s="91" t="s">
        <v>326</v>
      </c>
      <c r="C22" s="163" t="s">
        <v>327</v>
      </c>
      <c r="D22" s="83" t="s">
        <v>75</v>
      </c>
      <c r="E22" s="84">
        <f>SUM(E24:E24)</f>
        <v>573.07</v>
      </c>
      <c r="F22" s="85">
        <v>0</v>
      </c>
      <c r="G22" s="103">
        <f>E22*F22</f>
        <v>0</v>
      </c>
      <c r="H22" s="86"/>
      <c r="I22" s="87">
        <f>E22*H22</f>
        <v>0</v>
      </c>
      <c r="J22" s="161" t="s">
        <v>372</v>
      </c>
    </row>
    <row r="23" spans="1:10" s="69" customFormat="1" ht="12.75" customHeight="1" outlineLevel="1">
      <c r="A23" s="101"/>
      <c r="B23" s="91"/>
      <c r="C23" s="131" t="s">
        <v>349</v>
      </c>
      <c r="D23" s="89"/>
      <c r="E23" s="90">
        <v>0</v>
      </c>
      <c r="F23" s="85"/>
      <c r="G23" s="103"/>
      <c r="H23" s="86"/>
      <c r="I23" s="100"/>
      <c r="J23" s="161"/>
    </row>
    <row r="24" spans="1:10" s="69" customFormat="1" ht="12.75" customHeight="1" outlineLevel="1">
      <c r="A24" s="101"/>
      <c r="B24" s="91"/>
      <c r="C24" s="131" t="s">
        <v>344</v>
      </c>
      <c r="D24" s="89"/>
      <c r="E24" s="90">
        <v>573.07</v>
      </c>
      <c r="F24" s="85"/>
      <c r="G24" s="103"/>
      <c r="H24" s="86"/>
      <c r="I24" s="100"/>
      <c r="J24" s="161"/>
    </row>
    <row r="25" spans="1:10" s="69" customFormat="1" ht="12.75" customHeight="1">
      <c r="A25" s="101" t="s">
        <v>513</v>
      </c>
      <c r="B25" s="91" t="s">
        <v>350</v>
      </c>
      <c r="C25" s="82" t="s">
        <v>351</v>
      </c>
      <c r="D25" s="83" t="s">
        <v>75</v>
      </c>
      <c r="E25" s="84">
        <f>SUM(E26:E26)</f>
        <v>372</v>
      </c>
      <c r="F25" s="85">
        <v>0</v>
      </c>
      <c r="G25" s="103">
        <f>E25*F25</f>
        <v>0</v>
      </c>
      <c r="H25" s="86"/>
      <c r="I25" s="87">
        <f>E25*H25</f>
        <v>0</v>
      </c>
      <c r="J25" s="161"/>
    </row>
    <row r="26" spans="1:10" s="69" customFormat="1" ht="12.75" customHeight="1" outlineLevel="1">
      <c r="A26" s="101"/>
      <c r="B26" s="91"/>
      <c r="C26" s="131" t="s">
        <v>344</v>
      </c>
      <c r="D26" s="89"/>
      <c r="E26" s="90">
        <v>372</v>
      </c>
      <c r="F26" s="85"/>
      <c r="G26" s="103"/>
      <c r="H26" s="86"/>
      <c r="I26" s="100"/>
      <c r="J26" s="161"/>
    </row>
    <row r="27" spans="1:10" s="69" customFormat="1" ht="12.75" customHeight="1">
      <c r="A27" s="101" t="s">
        <v>514</v>
      </c>
      <c r="B27" s="91" t="s">
        <v>350</v>
      </c>
      <c r="C27" s="82" t="s">
        <v>352</v>
      </c>
      <c r="D27" s="83" t="s">
        <v>75</v>
      </c>
      <c r="E27" s="84">
        <f>SUM(E28:E28)</f>
        <v>180</v>
      </c>
      <c r="F27" s="85">
        <v>0</v>
      </c>
      <c r="G27" s="103">
        <f>E27*F27</f>
        <v>0</v>
      </c>
      <c r="H27" s="86"/>
      <c r="I27" s="87">
        <f>E27*H27</f>
        <v>0</v>
      </c>
      <c r="J27" s="161"/>
    </row>
    <row r="28" spans="1:10" s="69" customFormat="1" ht="12.75" customHeight="1" outlineLevel="1">
      <c r="A28" s="101"/>
      <c r="B28" s="91"/>
      <c r="C28" s="131" t="s">
        <v>344</v>
      </c>
      <c r="D28" s="89"/>
      <c r="E28" s="90">
        <v>180</v>
      </c>
      <c r="F28" s="85"/>
      <c r="G28" s="103"/>
      <c r="H28" s="86"/>
      <c r="I28" s="100"/>
      <c r="J28" s="161"/>
    </row>
    <row r="29" spans="1:10" s="69" customFormat="1" ht="12.75" customHeight="1">
      <c r="A29" s="101" t="s">
        <v>515</v>
      </c>
      <c r="B29" s="91" t="s">
        <v>350</v>
      </c>
      <c r="C29" s="82" t="s">
        <v>353</v>
      </c>
      <c r="D29" s="83" t="s">
        <v>75</v>
      </c>
      <c r="E29" s="84">
        <f>SUM(E30:E30)</f>
        <v>385</v>
      </c>
      <c r="F29" s="85">
        <v>0</v>
      </c>
      <c r="G29" s="103">
        <f>E29*F29</f>
        <v>0</v>
      </c>
      <c r="H29" s="86"/>
      <c r="I29" s="87">
        <f>E29*H29</f>
        <v>0</v>
      </c>
      <c r="J29" s="161"/>
    </row>
    <row r="30" spans="1:12" s="69" customFormat="1" ht="12.75" customHeight="1" outlineLevel="1">
      <c r="A30" s="101"/>
      <c r="B30" s="91"/>
      <c r="C30" s="131" t="s">
        <v>344</v>
      </c>
      <c r="D30" s="89"/>
      <c r="E30" s="90">
        <v>385</v>
      </c>
      <c r="F30" s="85"/>
      <c r="G30" s="103"/>
      <c r="H30" s="86"/>
      <c r="I30" s="100"/>
      <c r="J30" s="161"/>
      <c r="L30" s="138"/>
    </row>
    <row r="31" spans="1:10" s="69" customFormat="1" ht="24" customHeight="1">
      <c r="A31" s="101" t="s">
        <v>516</v>
      </c>
      <c r="B31" s="91" t="s">
        <v>350</v>
      </c>
      <c r="C31" s="82" t="s">
        <v>354</v>
      </c>
      <c r="D31" s="83" t="s">
        <v>190</v>
      </c>
      <c r="E31" s="84">
        <f>SUM(E32:E32)</f>
        <v>180</v>
      </c>
      <c r="F31" s="85">
        <v>0</v>
      </c>
      <c r="G31" s="103">
        <f>E31*F31</f>
        <v>0</v>
      </c>
      <c r="H31" s="86"/>
      <c r="I31" s="87">
        <f>E31*H31</f>
        <v>0</v>
      </c>
      <c r="J31" s="161"/>
    </row>
    <row r="32" spans="1:12" s="69" customFormat="1" ht="12.75" customHeight="1" outlineLevel="1">
      <c r="A32" s="101"/>
      <c r="B32" s="91"/>
      <c r="C32" s="131" t="s">
        <v>344</v>
      </c>
      <c r="D32" s="89"/>
      <c r="E32" s="90">
        <v>180</v>
      </c>
      <c r="F32" s="85"/>
      <c r="G32" s="103"/>
      <c r="H32" s="86"/>
      <c r="I32" s="100"/>
      <c r="J32" s="161"/>
      <c r="L32" s="138"/>
    </row>
    <row r="33" spans="1:10" s="69" customFormat="1" ht="12.75" customHeight="1">
      <c r="A33" s="101" t="s">
        <v>517</v>
      </c>
      <c r="B33" s="91" t="s">
        <v>350</v>
      </c>
      <c r="C33" s="82" t="s">
        <v>311</v>
      </c>
      <c r="D33" s="83" t="s">
        <v>75</v>
      </c>
      <c r="E33" s="84">
        <f>SUM(E34:E34)</f>
        <v>20.65</v>
      </c>
      <c r="F33" s="85">
        <v>0</v>
      </c>
      <c r="G33" s="103">
        <f>E33*F33</f>
        <v>0</v>
      </c>
      <c r="H33" s="86"/>
      <c r="I33" s="87">
        <f>E33*H33</f>
        <v>0</v>
      </c>
      <c r="J33" s="161"/>
    </row>
    <row r="34" spans="1:12" s="69" customFormat="1" ht="12.75" customHeight="1" outlineLevel="1">
      <c r="A34" s="101"/>
      <c r="B34" s="91"/>
      <c r="C34" s="131" t="s">
        <v>344</v>
      </c>
      <c r="D34" s="89"/>
      <c r="E34" s="90">
        <v>20.65</v>
      </c>
      <c r="F34" s="85"/>
      <c r="G34" s="103"/>
      <c r="H34" s="86"/>
      <c r="I34" s="100"/>
      <c r="J34" s="161"/>
      <c r="L34" s="138"/>
    </row>
    <row r="35" spans="1:10" s="69" customFormat="1" ht="12.75" customHeight="1">
      <c r="A35" s="101" t="s">
        <v>518</v>
      </c>
      <c r="B35" s="91" t="s">
        <v>328</v>
      </c>
      <c r="C35" s="163" t="s">
        <v>329</v>
      </c>
      <c r="D35" s="83" t="s">
        <v>190</v>
      </c>
      <c r="E35" s="84">
        <f>SUM(E37:E37)</f>
        <v>48</v>
      </c>
      <c r="F35" s="85">
        <v>0</v>
      </c>
      <c r="G35" s="103">
        <f>E35*F35</f>
        <v>0</v>
      </c>
      <c r="H35" s="86"/>
      <c r="I35" s="87">
        <f>E35*H35</f>
        <v>0</v>
      </c>
      <c r="J35" s="161" t="s">
        <v>372</v>
      </c>
    </row>
    <row r="36" spans="1:10" s="69" customFormat="1" ht="12.75" customHeight="1" outlineLevel="1">
      <c r="A36" s="101"/>
      <c r="B36" s="91"/>
      <c r="C36" s="131" t="s">
        <v>349</v>
      </c>
      <c r="D36" s="89"/>
      <c r="E36" s="90">
        <v>0</v>
      </c>
      <c r="F36" s="85"/>
      <c r="G36" s="103"/>
      <c r="H36" s="86"/>
      <c r="I36" s="100"/>
      <c r="J36" s="161"/>
    </row>
    <row r="37" spans="1:10" s="69" customFormat="1" ht="12.75" customHeight="1" outlineLevel="1">
      <c r="A37" s="101"/>
      <c r="B37" s="91"/>
      <c r="C37" s="131" t="s">
        <v>344</v>
      </c>
      <c r="D37" s="89"/>
      <c r="E37" s="90">
        <v>48</v>
      </c>
      <c r="F37" s="85"/>
      <c r="G37" s="103"/>
      <c r="H37" s="86"/>
      <c r="I37" s="100"/>
      <c r="J37" s="161"/>
    </row>
    <row r="38" spans="1:10" s="69" customFormat="1" ht="12.75" customHeight="1">
      <c r="A38" s="101" t="s">
        <v>519</v>
      </c>
      <c r="B38" s="91" t="s">
        <v>350</v>
      </c>
      <c r="C38" s="82" t="s">
        <v>355</v>
      </c>
      <c r="D38" s="83" t="s">
        <v>190</v>
      </c>
      <c r="E38" s="84">
        <v>36</v>
      </c>
      <c r="F38" s="85">
        <v>0</v>
      </c>
      <c r="G38" s="103">
        <f>E38*F38</f>
        <v>0</v>
      </c>
      <c r="H38" s="86"/>
      <c r="I38" s="87">
        <f>E38*H38</f>
        <v>0</v>
      </c>
      <c r="J38" s="161"/>
    </row>
    <row r="39" spans="1:10" s="69" customFormat="1" ht="12.75" customHeight="1">
      <c r="A39" s="101" t="s">
        <v>520</v>
      </c>
      <c r="B39" s="91" t="s">
        <v>350</v>
      </c>
      <c r="C39" s="82" t="s">
        <v>312</v>
      </c>
      <c r="D39" s="83" t="s">
        <v>190</v>
      </c>
      <c r="E39" s="84">
        <v>12</v>
      </c>
      <c r="F39" s="85">
        <v>0</v>
      </c>
      <c r="G39" s="103">
        <f>E39*F39</f>
        <v>0</v>
      </c>
      <c r="H39" s="86"/>
      <c r="I39" s="87">
        <f>E39*H39</f>
        <v>0</v>
      </c>
      <c r="J39" s="161"/>
    </row>
    <row r="40" spans="1:10" s="69" customFormat="1" ht="12.75" customHeight="1">
      <c r="A40" s="101" t="s">
        <v>521</v>
      </c>
      <c r="B40" s="91" t="s">
        <v>330</v>
      </c>
      <c r="C40" s="163" t="s">
        <v>331</v>
      </c>
      <c r="D40" s="83" t="s">
        <v>190</v>
      </c>
      <c r="E40" s="84">
        <f>SUM(E42:E42)</f>
        <v>132</v>
      </c>
      <c r="F40" s="85">
        <v>0</v>
      </c>
      <c r="G40" s="103">
        <f>E40*F40</f>
        <v>0</v>
      </c>
      <c r="H40" s="86"/>
      <c r="I40" s="87">
        <f>E40*H40</f>
        <v>0</v>
      </c>
      <c r="J40" s="161" t="s">
        <v>372</v>
      </c>
    </row>
    <row r="41" spans="1:10" s="69" customFormat="1" ht="12.75" customHeight="1" outlineLevel="1">
      <c r="A41" s="101"/>
      <c r="B41" s="91"/>
      <c r="C41" s="131" t="s">
        <v>349</v>
      </c>
      <c r="D41" s="89"/>
      <c r="E41" s="90">
        <v>0</v>
      </c>
      <c r="F41" s="85"/>
      <c r="G41" s="103"/>
      <c r="H41" s="86"/>
      <c r="I41" s="100"/>
      <c r="J41" s="161"/>
    </row>
    <row r="42" spans="1:10" s="69" customFormat="1" ht="12.75" customHeight="1" outlineLevel="1">
      <c r="A42" s="101"/>
      <c r="B42" s="91"/>
      <c r="C42" s="131" t="s">
        <v>344</v>
      </c>
      <c r="D42" s="89"/>
      <c r="E42" s="90">
        <v>132</v>
      </c>
      <c r="F42" s="85"/>
      <c r="G42" s="103"/>
      <c r="H42" s="86"/>
      <c r="I42" s="100"/>
      <c r="J42" s="161"/>
    </row>
    <row r="43" spans="1:10" s="69" customFormat="1" ht="12.75" customHeight="1">
      <c r="A43" s="101" t="s">
        <v>522</v>
      </c>
      <c r="B43" s="91" t="s">
        <v>350</v>
      </c>
      <c r="C43" s="82" t="s">
        <v>355</v>
      </c>
      <c r="D43" s="83" t="s">
        <v>190</v>
      </c>
      <c r="E43" s="84">
        <v>120</v>
      </c>
      <c r="F43" s="85">
        <v>0</v>
      </c>
      <c r="G43" s="103">
        <f>E43*F43</f>
        <v>0</v>
      </c>
      <c r="H43" s="86"/>
      <c r="I43" s="87">
        <f>E43*H43</f>
        <v>0</v>
      </c>
      <c r="J43" s="161"/>
    </row>
    <row r="44" spans="1:10" s="69" customFormat="1" ht="12.75" customHeight="1">
      <c r="A44" s="101" t="s">
        <v>523</v>
      </c>
      <c r="B44" s="91" t="s">
        <v>350</v>
      </c>
      <c r="C44" s="82" t="s">
        <v>312</v>
      </c>
      <c r="D44" s="83" t="s">
        <v>190</v>
      </c>
      <c r="E44" s="84">
        <v>12</v>
      </c>
      <c r="F44" s="85">
        <v>0</v>
      </c>
      <c r="G44" s="103">
        <f>E44*F44</f>
        <v>0</v>
      </c>
      <c r="H44" s="86"/>
      <c r="I44" s="87">
        <f>E44*H44</f>
        <v>0</v>
      </c>
      <c r="J44" s="161"/>
    </row>
    <row r="45" spans="1:10" s="69" customFormat="1" ht="12.75" customHeight="1">
      <c r="A45" s="101" t="s">
        <v>524</v>
      </c>
      <c r="B45" s="91" t="s">
        <v>332</v>
      </c>
      <c r="C45" s="163" t="s">
        <v>333</v>
      </c>
      <c r="D45" s="83" t="s">
        <v>190</v>
      </c>
      <c r="E45" s="84">
        <f>SUM(E47:E47)</f>
        <v>36</v>
      </c>
      <c r="F45" s="85">
        <v>0</v>
      </c>
      <c r="G45" s="103">
        <f>E45*F45</f>
        <v>0</v>
      </c>
      <c r="H45" s="86"/>
      <c r="I45" s="87">
        <f>E45*H45</f>
        <v>0</v>
      </c>
      <c r="J45" s="161" t="s">
        <v>372</v>
      </c>
    </row>
    <row r="46" spans="1:10" s="69" customFormat="1" ht="12.75" customHeight="1" outlineLevel="1">
      <c r="A46" s="101"/>
      <c r="B46" s="91"/>
      <c r="C46" s="131" t="s">
        <v>349</v>
      </c>
      <c r="D46" s="89"/>
      <c r="E46" s="90">
        <v>0</v>
      </c>
      <c r="F46" s="85"/>
      <c r="G46" s="103"/>
      <c r="H46" s="86"/>
      <c r="I46" s="100"/>
      <c r="J46" s="161"/>
    </row>
    <row r="47" spans="1:10" s="69" customFormat="1" ht="12.75" customHeight="1" outlineLevel="1">
      <c r="A47" s="101"/>
      <c r="B47" s="91"/>
      <c r="C47" s="131" t="s">
        <v>344</v>
      </c>
      <c r="D47" s="89"/>
      <c r="E47" s="90">
        <v>36</v>
      </c>
      <c r="F47" s="85"/>
      <c r="G47" s="103"/>
      <c r="H47" s="86"/>
      <c r="I47" s="100"/>
      <c r="J47" s="161"/>
    </row>
    <row r="48" spans="1:10" s="69" customFormat="1" ht="12.75" customHeight="1">
      <c r="A48" s="101" t="s">
        <v>525</v>
      </c>
      <c r="B48" s="91" t="s">
        <v>350</v>
      </c>
      <c r="C48" s="82" t="s">
        <v>313</v>
      </c>
      <c r="D48" s="83" t="s">
        <v>190</v>
      </c>
      <c r="E48" s="84">
        <f>SUM(E49:E49)</f>
        <v>36</v>
      </c>
      <c r="F48" s="85">
        <v>0</v>
      </c>
      <c r="G48" s="103">
        <f>E48*F48</f>
        <v>0</v>
      </c>
      <c r="H48" s="86"/>
      <c r="I48" s="87">
        <f>E48*H48</f>
        <v>0</v>
      </c>
      <c r="J48" s="161"/>
    </row>
    <row r="49" spans="1:10" s="69" customFormat="1" ht="12.75" customHeight="1" outlineLevel="1">
      <c r="A49" s="101"/>
      <c r="B49" s="91"/>
      <c r="C49" s="131" t="s">
        <v>344</v>
      </c>
      <c r="D49" s="89"/>
      <c r="E49" s="90">
        <v>36</v>
      </c>
      <c r="F49" s="85"/>
      <c r="G49" s="103"/>
      <c r="H49" s="86"/>
      <c r="I49" s="100"/>
      <c r="J49" s="161"/>
    </row>
    <row r="50" spans="1:10" s="69" customFormat="1" ht="12.75" customHeight="1">
      <c r="A50" s="101" t="s">
        <v>526</v>
      </c>
      <c r="B50" s="91" t="s">
        <v>320</v>
      </c>
      <c r="C50" s="163" t="s">
        <v>321</v>
      </c>
      <c r="D50" s="83" t="s">
        <v>190</v>
      </c>
      <c r="E50" s="84">
        <f>SUM(E52:E52)</f>
        <v>75</v>
      </c>
      <c r="F50" s="85">
        <v>0</v>
      </c>
      <c r="G50" s="103">
        <f>E50*F50</f>
        <v>0</v>
      </c>
      <c r="H50" s="86"/>
      <c r="I50" s="87">
        <f>E50*H50</f>
        <v>0</v>
      </c>
      <c r="J50" s="161" t="s">
        <v>372</v>
      </c>
    </row>
    <row r="51" spans="1:10" s="69" customFormat="1" ht="12.75" customHeight="1" outlineLevel="1">
      <c r="A51" s="101"/>
      <c r="B51" s="91"/>
      <c r="C51" s="131" t="s">
        <v>349</v>
      </c>
      <c r="D51" s="89"/>
      <c r="E51" s="90">
        <v>0</v>
      </c>
      <c r="F51" s="85"/>
      <c r="G51" s="103"/>
      <c r="H51" s="86"/>
      <c r="I51" s="100"/>
      <c r="J51" s="161"/>
    </row>
    <row r="52" spans="1:10" s="69" customFormat="1" ht="12.75" customHeight="1" outlineLevel="1">
      <c r="A52" s="101"/>
      <c r="B52" s="91"/>
      <c r="C52" s="131" t="s">
        <v>344</v>
      </c>
      <c r="D52" s="89"/>
      <c r="E52" s="90">
        <v>75</v>
      </c>
      <c r="F52" s="85"/>
      <c r="G52" s="103"/>
      <c r="H52" s="86"/>
      <c r="I52" s="100"/>
      <c r="J52" s="161"/>
    </row>
    <row r="53" spans="1:10" s="69" customFormat="1" ht="12.75" customHeight="1">
      <c r="A53" s="101" t="s">
        <v>527</v>
      </c>
      <c r="B53" s="91" t="s">
        <v>322</v>
      </c>
      <c r="C53" s="163" t="s">
        <v>323</v>
      </c>
      <c r="D53" s="83" t="s">
        <v>190</v>
      </c>
      <c r="E53" s="84">
        <f>SUM(E55:E55)</f>
        <v>8</v>
      </c>
      <c r="F53" s="85">
        <v>0</v>
      </c>
      <c r="G53" s="103">
        <f>E53*F53</f>
        <v>0</v>
      </c>
      <c r="H53" s="86"/>
      <c r="I53" s="87">
        <f>E53*H53</f>
        <v>0</v>
      </c>
      <c r="J53" s="161" t="s">
        <v>372</v>
      </c>
    </row>
    <row r="54" spans="1:10" s="69" customFormat="1" ht="12.75" customHeight="1" outlineLevel="1">
      <c r="A54" s="101"/>
      <c r="B54" s="91"/>
      <c r="C54" s="131" t="s">
        <v>349</v>
      </c>
      <c r="D54" s="89"/>
      <c r="E54" s="90">
        <v>0</v>
      </c>
      <c r="F54" s="85"/>
      <c r="G54" s="103"/>
      <c r="H54" s="86"/>
      <c r="I54" s="100"/>
      <c r="J54" s="161"/>
    </row>
    <row r="55" spans="1:10" s="69" customFormat="1" ht="12.75" customHeight="1" outlineLevel="1">
      <c r="A55" s="101"/>
      <c r="B55" s="91"/>
      <c r="C55" s="131" t="s">
        <v>344</v>
      </c>
      <c r="D55" s="89"/>
      <c r="E55" s="90">
        <v>8</v>
      </c>
      <c r="F55" s="85"/>
      <c r="G55" s="103"/>
      <c r="H55" s="86"/>
      <c r="I55" s="100"/>
      <c r="J55" s="161"/>
    </row>
    <row r="56" spans="1:10" s="69" customFormat="1" ht="12.75" customHeight="1">
      <c r="A56" s="101" t="s">
        <v>528</v>
      </c>
      <c r="B56" s="91" t="s">
        <v>334</v>
      </c>
      <c r="C56" s="163" t="s">
        <v>356</v>
      </c>
      <c r="D56" s="83" t="s">
        <v>190</v>
      </c>
      <c r="E56" s="84">
        <f>SUM(E58:E58)</f>
        <v>14</v>
      </c>
      <c r="F56" s="85">
        <v>0</v>
      </c>
      <c r="G56" s="103">
        <f>E56*F56</f>
        <v>0</v>
      </c>
      <c r="H56" s="86"/>
      <c r="I56" s="87">
        <f>E56*H56</f>
        <v>0</v>
      </c>
      <c r="J56" s="161" t="s">
        <v>372</v>
      </c>
    </row>
    <row r="57" spans="1:10" s="69" customFormat="1" ht="12.75" customHeight="1" outlineLevel="1">
      <c r="A57" s="101"/>
      <c r="B57" s="91"/>
      <c r="C57" s="131" t="s">
        <v>349</v>
      </c>
      <c r="D57" s="89"/>
      <c r="E57" s="90">
        <v>0</v>
      </c>
      <c r="F57" s="85"/>
      <c r="G57" s="103"/>
      <c r="H57" s="86"/>
      <c r="I57" s="100"/>
      <c r="J57" s="161"/>
    </row>
    <row r="58" spans="1:10" s="69" customFormat="1" ht="12.75" customHeight="1" outlineLevel="1">
      <c r="A58" s="101"/>
      <c r="B58" s="91"/>
      <c r="C58" s="131" t="s">
        <v>344</v>
      </c>
      <c r="D58" s="89"/>
      <c r="E58" s="90">
        <v>14</v>
      </c>
      <c r="F58" s="85"/>
      <c r="G58" s="103"/>
      <c r="H58" s="86"/>
      <c r="I58" s="100"/>
      <c r="J58" s="161"/>
    </row>
    <row r="59" spans="1:10" s="69" customFormat="1" ht="38.25" customHeight="1">
      <c r="A59" s="101" t="s">
        <v>529</v>
      </c>
      <c r="B59" s="91" t="s">
        <v>350</v>
      </c>
      <c r="C59" s="82" t="s">
        <v>316</v>
      </c>
      <c r="D59" s="83" t="s">
        <v>190</v>
      </c>
      <c r="E59" s="84">
        <v>14</v>
      </c>
      <c r="F59" s="85">
        <v>0</v>
      </c>
      <c r="G59" s="103">
        <f>E59*F59</f>
        <v>0</v>
      </c>
      <c r="H59" s="86"/>
      <c r="I59" s="87">
        <f>E59*H59</f>
        <v>0</v>
      </c>
      <c r="J59" s="161"/>
    </row>
    <row r="60" spans="1:10" s="69" customFormat="1" ht="12.75" customHeight="1">
      <c r="A60" s="101" t="s">
        <v>530</v>
      </c>
      <c r="B60" s="91" t="s">
        <v>318</v>
      </c>
      <c r="C60" s="163" t="s">
        <v>319</v>
      </c>
      <c r="D60" s="83" t="s">
        <v>190</v>
      </c>
      <c r="E60" s="84">
        <f>SUM(E62:E62)</f>
        <v>8</v>
      </c>
      <c r="F60" s="85">
        <v>0</v>
      </c>
      <c r="G60" s="103">
        <f>E60*F60</f>
        <v>0</v>
      </c>
      <c r="H60" s="86"/>
      <c r="I60" s="87">
        <f>E60*H60</f>
        <v>0</v>
      </c>
      <c r="J60" s="161" t="s">
        <v>372</v>
      </c>
    </row>
    <row r="61" spans="1:10" s="69" customFormat="1" ht="12.75" customHeight="1" outlineLevel="1">
      <c r="A61" s="101"/>
      <c r="B61" s="91"/>
      <c r="C61" s="131" t="s">
        <v>349</v>
      </c>
      <c r="D61" s="89"/>
      <c r="E61" s="90">
        <v>0</v>
      </c>
      <c r="F61" s="85"/>
      <c r="G61" s="103"/>
      <c r="H61" s="86"/>
      <c r="I61" s="100"/>
      <c r="J61" s="161"/>
    </row>
    <row r="62" spans="1:10" s="69" customFormat="1" ht="12.75" customHeight="1" outlineLevel="1">
      <c r="A62" s="101"/>
      <c r="B62" s="91"/>
      <c r="C62" s="131" t="s">
        <v>344</v>
      </c>
      <c r="D62" s="89"/>
      <c r="E62" s="90">
        <v>8</v>
      </c>
      <c r="F62" s="85"/>
      <c r="G62" s="103"/>
      <c r="H62" s="86"/>
      <c r="I62" s="100"/>
      <c r="J62" s="161"/>
    </row>
    <row r="63" spans="1:10" s="69" customFormat="1" ht="12.75" customHeight="1">
      <c r="A63" s="101" t="s">
        <v>531</v>
      </c>
      <c r="B63" s="91" t="s">
        <v>350</v>
      </c>
      <c r="C63" s="82" t="s">
        <v>314</v>
      </c>
      <c r="D63" s="83" t="s">
        <v>190</v>
      </c>
      <c r="E63" s="84">
        <v>8</v>
      </c>
      <c r="F63" s="85">
        <v>0</v>
      </c>
      <c r="G63" s="103">
        <f>E63*F63</f>
        <v>0</v>
      </c>
      <c r="H63" s="86"/>
      <c r="I63" s="87">
        <f>E63*H63</f>
        <v>0</v>
      </c>
      <c r="J63" s="161"/>
    </row>
    <row r="64" spans="1:10" s="69" customFormat="1" ht="12.75" customHeight="1">
      <c r="A64" s="101" t="s">
        <v>532</v>
      </c>
      <c r="B64" s="91" t="s">
        <v>324</v>
      </c>
      <c r="C64" s="163" t="s">
        <v>325</v>
      </c>
      <c r="D64" s="83" t="s">
        <v>190</v>
      </c>
      <c r="E64" s="84">
        <v>8</v>
      </c>
      <c r="F64" s="85">
        <v>0</v>
      </c>
      <c r="G64" s="103">
        <f>E64*F64</f>
        <v>0</v>
      </c>
      <c r="H64" s="86"/>
      <c r="I64" s="87">
        <f>E64*H64</f>
        <v>0</v>
      </c>
      <c r="J64" s="161" t="s">
        <v>372</v>
      </c>
    </row>
    <row r="65" spans="1:10" s="69" customFormat="1" ht="12.75" customHeight="1">
      <c r="A65" s="76"/>
      <c r="C65" s="93" t="str">
        <f>CONCATENATE(B20," celkem")</f>
        <v>74 celkem</v>
      </c>
      <c r="D65" s="76"/>
      <c r="G65" s="111">
        <f>SUBTOTAL(9,G22:G64)</f>
        <v>0</v>
      </c>
      <c r="I65" s="94">
        <f>SUBTOTAL(9,I22:I64)</f>
        <v>0</v>
      </c>
      <c r="J65" s="161"/>
    </row>
    <row r="66" spans="1:10" s="95" customFormat="1" ht="12.75" customHeight="1">
      <c r="A66" s="105"/>
      <c r="C66" s="115"/>
      <c r="D66" s="105"/>
      <c r="G66" s="111"/>
      <c r="I66" s="112"/>
      <c r="J66" s="162"/>
    </row>
    <row r="67" spans="1:10" s="69" customFormat="1" ht="14.25" customHeight="1">
      <c r="A67" s="76"/>
      <c r="B67" s="77" t="s">
        <v>310</v>
      </c>
      <c r="C67" s="78" t="s">
        <v>357</v>
      </c>
      <c r="D67" s="79"/>
      <c r="J67" s="76"/>
    </row>
    <row r="68" spans="1:10" s="69" customFormat="1" ht="6" customHeight="1">
      <c r="A68" s="76"/>
      <c r="C68" s="80"/>
      <c r="D68" s="76"/>
      <c r="J68" s="76"/>
    </row>
    <row r="69" spans="1:10" s="69" customFormat="1" ht="12.75" customHeight="1">
      <c r="A69" s="101" t="s">
        <v>533</v>
      </c>
      <c r="B69" s="91" t="s">
        <v>359</v>
      </c>
      <c r="C69" s="163" t="s">
        <v>358</v>
      </c>
      <c r="D69" s="83" t="s">
        <v>315</v>
      </c>
      <c r="E69" s="84">
        <v>160</v>
      </c>
      <c r="F69" s="85">
        <v>0</v>
      </c>
      <c r="G69" s="103">
        <f>E69*F69</f>
        <v>0</v>
      </c>
      <c r="H69" s="86"/>
      <c r="I69" s="87">
        <f>E69*H69</f>
        <v>0</v>
      </c>
      <c r="J69" s="161" t="s">
        <v>127</v>
      </c>
    </row>
    <row r="70" spans="1:10" s="69" customFormat="1" ht="12.75" customHeight="1">
      <c r="A70" s="101" t="s">
        <v>534</v>
      </c>
      <c r="B70" s="91" t="s">
        <v>360</v>
      </c>
      <c r="C70" s="82" t="s">
        <v>361</v>
      </c>
      <c r="D70" s="83" t="s">
        <v>315</v>
      </c>
      <c r="E70" s="84">
        <v>8</v>
      </c>
      <c r="F70" s="85">
        <v>0</v>
      </c>
      <c r="G70" s="103">
        <f>E70*F70</f>
        <v>0</v>
      </c>
      <c r="H70" s="86"/>
      <c r="I70" s="87">
        <f>E70*H70</f>
        <v>0</v>
      </c>
      <c r="J70" s="161" t="s">
        <v>127</v>
      </c>
    </row>
    <row r="71" spans="1:10" s="69" customFormat="1" ht="12.75" customHeight="1">
      <c r="A71" s="76"/>
      <c r="C71" s="93" t="str">
        <f>CONCATENATE(B67," celkem")</f>
        <v>HZS celkem</v>
      </c>
      <c r="D71" s="76"/>
      <c r="G71" s="111">
        <f>SUBTOTAL(9,G69:G70)</f>
        <v>0</v>
      </c>
      <c r="I71" s="94">
        <f>SUBTOTAL(9,I69:I70)</f>
        <v>0</v>
      </c>
      <c r="J71" s="161"/>
    </row>
  </sheetData>
  <sheetProtection/>
  <mergeCells count="9">
    <mergeCell ref="G1:G2"/>
    <mergeCell ref="H1:I1"/>
    <mergeCell ref="J1:J2"/>
    <mergeCell ref="A1:A2"/>
    <mergeCell ref="B1:B2"/>
    <mergeCell ref="C1:C2"/>
    <mergeCell ref="D1:D2"/>
    <mergeCell ref="E1:E2"/>
    <mergeCell ref="F1:F2"/>
  </mergeCells>
  <printOptions/>
  <pageMargins left="0.7874015748031497" right="0.7086614173228347" top="0.8661417322834646" bottom="0.6692913385826772" header="0.31496062992125984" footer="0.31496062992125984"/>
  <pageSetup horizontalDpi="600" verticalDpi="600" orientation="portrait" paperSize="9" r:id="rId1"/>
  <headerFooter>
    <oddHeader>&amp;L&amp;8Kopřivnice, Česká 320&amp;C&amp;"Arial CE,Tučné"Výkaz výměr - NEZPŮSOBILÉ&amp;R&amp;8Hromosvody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Miloš Sopuch</cp:lastModifiedBy>
  <cp:lastPrinted>2016-09-14T09:20:53Z</cp:lastPrinted>
  <dcterms:created xsi:type="dcterms:W3CDTF">2000-09-05T09:25:34Z</dcterms:created>
  <dcterms:modified xsi:type="dcterms:W3CDTF">2017-12-06T10:22:58Z</dcterms:modified>
  <cp:category/>
  <cp:version/>
  <cp:contentType/>
  <cp:contentStatus/>
</cp:coreProperties>
</file>