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50" windowWidth="19455" windowHeight="7395" activeTab="0"/>
  </bookViews>
  <sheets>
    <sheet name="Krycí list" sheetId="1" r:id="rId1"/>
    <sheet name="Rekapitulace rozpočtu" sheetId="2" r:id="rId2"/>
    <sheet name="Rozpočet" sheetId="3" r:id="rId3"/>
  </sheets>
  <definedNames>
    <definedName name="_xlnm.Print_Titles" localSheetId="2">'Rozpočet'!$1:$3</definedName>
    <definedName name="_xlnm.Print_Area" localSheetId="0">'Krycí list'!$A$1:$K$43</definedName>
  </definedNames>
  <calcPr fullCalcOnLoad="1"/>
</workbook>
</file>

<file path=xl/sharedStrings.xml><?xml version="1.0" encoding="utf-8"?>
<sst xmlns="http://schemas.openxmlformats.org/spreadsheetml/2006/main" count="1095" uniqueCount="606">
  <si>
    <t>99</t>
  </si>
  <si>
    <t>Presun hmot</t>
  </si>
  <si>
    <t>%</t>
  </si>
  <si>
    <t>767</t>
  </si>
  <si>
    <t>998 76-7203</t>
  </si>
  <si>
    <t>Presun zamecnicke kce objekt v -24m</t>
  </si>
  <si>
    <t>94</t>
  </si>
  <si>
    <t>Leseni a stavebni vytahy</t>
  </si>
  <si>
    <t>96</t>
  </si>
  <si>
    <t>Bourani konstrukci</t>
  </si>
  <si>
    <t>t</t>
  </si>
  <si>
    <t>979 08-2111</t>
  </si>
  <si>
    <t>Vnitrostav doprava suti do 10m</t>
  </si>
  <si>
    <t>Tonáž</t>
  </si>
  <si>
    <t>jednotková</t>
  </si>
  <si>
    <t>Název položky</t>
  </si>
  <si>
    <t>Název stavby :</t>
  </si>
  <si>
    <t>celkem</t>
  </si>
  <si>
    <t>CENA (Kč)</t>
  </si>
  <si>
    <t>Oddíl</t>
  </si>
  <si>
    <t>Název</t>
  </si>
  <si>
    <t>Celkem</t>
  </si>
  <si>
    <t>Množství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</si>
  <si>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</si>
  <si>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</si>
  <si>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</si>
  <si>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</si>
  <si>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</si>
  <si>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</si>
  <si>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</si>
  <si>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</si>
  <si>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</si>
  <si>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</si>
  <si>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</si>
  <si>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</si>
  <si>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</si>
  <si>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</si>
  <si>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</si>
  <si>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</si>
  <si>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</si>
  <si>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</si>
  <si>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</si>
  <si>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</si>
  <si>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</si>
  <si>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</si>
  <si>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</si>
  <si>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</si>
  <si>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</si>
  <si>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</si>
  <si>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</si>
  <si>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Vypracoval: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</si>
  <si>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</si>
  <si>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</si>
  <si>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</si>
  <si>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</si>
  <si>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</si>
  <si>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</si>
  <si>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</si>
  <si>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</si>
  <si>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</si>
  <si>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</si>
  <si>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</si>
  <si>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</si>
  <si>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</si>
  <si>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Celkem (ř. 26-28)</t>
  </si>
  <si>
    <t>Název stavby v evid.</t>
  </si>
  <si>
    <t>Název objektu v evid.</t>
  </si>
  <si>
    <t>Číslo záznamu v evid.</t>
  </si>
  <si>
    <t>Cenová úroveň:</t>
  </si>
  <si>
    <t>Náklady na MJ:</t>
  </si>
  <si>
    <t>1</t>
  </si>
  <si>
    <t>Zemni prace</t>
  </si>
  <si>
    <t>m2</t>
  </si>
  <si>
    <t>kg</t>
  </si>
  <si>
    <t>m</t>
  </si>
  <si>
    <t>62</t>
  </si>
  <si>
    <t>Uprava povrchu vnejsi</t>
  </si>
  <si>
    <t>CZ64618633</t>
  </si>
  <si>
    <t xml:space="preserve"> Havířovská inženýrská kancelář, spol. s r.o.</t>
  </si>
  <si>
    <t>Konstrukce zámečnické</t>
  </si>
  <si>
    <t>Práce HSV</t>
  </si>
  <si>
    <t>Práce PSV</t>
  </si>
  <si>
    <t>Jednotková hmotnost</t>
  </si>
  <si>
    <t>Celková hmotnost</t>
  </si>
  <si>
    <t>Měrná jedn.</t>
  </si>
  <si>
    <t>Číslo položky</t>
  </si>
  <si>
    <t>ON celkem</t>
  </si>
  <si>
    <t>C E N A (Kč)</t>
  </si>
  <si>
    <t>Cenová soustava</t>
  </si>
  <si>
    <t>Vlastní</t>
  </si>
  <si>
    <t>m3</t>
  </si>
  <si>
    <t>Práce montážní</t>
  </si>
  <si>
    <t>VN + ON</t>
  </si>
  <si>
    <t>VN celkem</t>
  </si>
  <si>
    <t>Očištění fasád tlakovou vodou složitost 1 - 2</t>
  </si>
  <si>
    <t>Fasáda objektu</t>
  </si>
  <si>
    <t>Penetrace savých podkladů 0,25 l/m2 pod zateplovací systém</t>
  </si>
  <si>
    <t>622 30-0141</t>
  </si>
  <si>
    <t>Ostění oken</t>
  </si>
  <si>
    <t>620 99-1121</t>
  </si>
  <si>
    <t>Zakrývání výplní vnějších otvorů z lešení</t>
  </si>
  <si>
    <t>Položka obsahuje: nanesení lepicího tmelu na izolační desky, nalepení desek, zajištění talířovými hmoždinkami STR U (6 ks/m2), natažení stěrky, vtlačení výztužné tkaniny (1,15 m2/m2), přehlazení stěrky, nanesení vyrovnávací stěrky. V položce je obsaženo 0,14 m rohových lišt na m2.</t>
  </si>
  <si>
    <t>764</t>
  </si>
  <si>
    <t>Konstrukce klempirske</t>
  </si>
  <si>
    <t>764 41-0850</t>
  </si>
  <si>
    <t>Parapety oken</t>
  </si>
  <si>
    <t>998 76-4203</t>
  </si>
  <si>
    <t>Presun klempir kce objekt v 24m</t>
  </si>
  <si>
    <t>766</t>
  </si>
  <si>
    <t xml:space="preserve"> Konstruikce klempířské</t>
  </si>
  <si>
    <t>622 45-4111</t>
  </si>
  <si>
    <t>Oprava vnějších omítek cement.,hladkých do 10 %</t>
  </si>
  <si>
    <t>Montáž vyrovnávací vrstvy izolantem tl. 20 mm</t>
  </si>
  <si>
    <t>941 94-1032</t>
  </si>
  <si>
    <t>Montáž lešení leh.řad.s podlahami,š.do 1 m, H 30 m</t>
  </si>
  <si>
    <t>Příplatek za každý měsíc použití lešení k pol.1032</t>
  </si>
  <si>
    <t>941 94-1192</t>
  </si>
  <si>
    <t>941 94-1832</t>
  </si>
  <si>
    <t>Demontáž lešení leh.řad.s podlahami,š.1 m, H 30 m</t>
  </si>
  <si>
    <t>979 08-2121</t>
  </si>
  <si>
    <t>Vnitrostav doprava suti ZKD 5m</t>
  </si>
  <si>
    <t>Vyrovnání nerovností</t>
  </si>
  <si>
    <t>Odhad 20% plochy zateplení</t>
  </si>
  <si>
    <t>Přední průčelí</t>
  </si>
  <si>
    <t>Zadní průčelí</t>
  </si>
  <si>
    <t>Omítka stěn vnější mozaiková, střednězrná slož. II. ruč</t>
  </si>
  <si>
    <t>kpl.</t>
  </si>
  <si>
    <t>771</t>
  </si>
  <si>
    <t>Podlahy z dlaždic</t>
  </si>
  <si>
    <t xml:space="preserve"> Podlahy z dlaždic</t>
  </si>
  <si>
    <t>998 77-1203</t>
  </si>
  <si>
    <t>Přesun hmot</t>
  </si>
  <si>
    <t>771 SPC</t>
  </si>
  <si>
    <t>Keramická dlažba 300x300, protiskluzná, mrazuodolná</t>
  </si>
  <si>
    <t>Příplatek za spárovací vodotěsnou hmotu - plošně</t>
  </si>
  <si>
    <t>711</t>
  </si>
  <si>
    <t xml:space="preserve"> Izolace proti vodě</t>
  </si>
  <si>
    <t>711 21-2104</t>
  </si>
  <si>
    <t>Penetrace savých podkladů</t>
  </si>
  <si>
    <t>Izolace proti vodě</t>
  </si>
  <si>
    <t>622 31-RV1</t>
  </si>
  <si>
    <t>Parapety výplní otvorů ve fasádě</t>
  </si>
  <si>
    <t>771 47-9001</t>
  </si>
  <si>
    <t>Řezání dlaždic keramických pro soklíky</t>
  </si>
  <si>
    <t xml:space="preserve">dle ploch, zvýšený o 10%    </t>
  </si>
  <si>
    <t>771 13-0111</t>
  </si>
  <si>
    <t>Obklad soklíků rovných do tmele výšky do 100 mm</t>
  </si>
  <si>
    <t xml:space="preserve">Položka je určena pro kladení soklíků rovných do tmele. Položka obsahuje :  - rozbalení balíků, třídění nebo rozpojení dlaždic nebo obkladaček dodávaných v blocích, - příprava a nanesení tmele na plochu, - kladení dlaždic nebo obkladaček, - spárování, čištění soklíku, odstranění odpadu. Položka neobsahuje materiál - dlaždice.  </t>
  </si>
  <si>
    <t>DPH 15%</t>
  </si>
  <si>
    <t>Štítové stěny</t>
  </si>
  <si>
    <t>622 47-4204</t>
  </si>
  <si>
    <t>38</t>
  </si>
  <si>
    <t>Různé kompletní konstrukce</t>
  </si>
  <si>
    <t>380 94-1213RT3</t>
  </si>
  <si>
    <t>Výztuž helikální 1 x D 8 mm, drážka, ŽB</t>
  </si>
  <si>
    <r>
      <t xml:space="preserve">Zateplení aerogelovou izolací </t>
    </r>
    <r>
      <rPr>
        <b/>
        <sz val="8"/>
        <rFont val="Arial CE"/>
        <family val="0"/>
      </rPr>
      <t>(λ=0,014 W/mK)</t>
    </r>
    <r>
      <rPr>
        <sz val="8"/>
        <rFont val="Arial CE"/>
        <family val="2"/>
      </rPr>
      <t>. se síťkou, lepení pomocí systémového PUR lepidla tl. 10 mm</t>
    </r>
  </si>
  <si>
    <t>139 60-1102</t>
  </si>
  <si>
    <t>174 10-1102</t>
  </si>
  <si>
    <t>Ruční zásyp se zhutněním</t>
  </si>
  <si>
    <t>Ruční výkop jam, rýh a šachet v hornině tř. 3</t>
  </si>
  <si>
    <t>Zásyp původní zeminou kolem soklu</t>
  </si>
  <si>
    <t>Spojení panelů</t>
  </si>
  <si>
    <t>1,50*12*0,20</t>
  </si>
  <si>
    <t>713</t>
  </si>
  <si>
    <t xml:space="preserve"> Izolace tepelná</t>
  </si>
  <si>
    <t>Izolace tepelná</t>
  </si>
  <si>
    <t>Izolace proti vlhkosti svislá nátěr ALP za studena, vč. dodávky ALP</t>
  </si>
  <si>
    <t>711 11-2001RZ1</t>
  </si>
  <si>
    <t>711 14-2559RY2</t>
  </si>
  <si>
    <t>764 90-8304</t>
  </si>
  <si>
    <t>Dodávka a montáž oplechování parapetu z plechu tl. 0,5 mm s povrchovou úpravou PE (polyester) v barvě hnědé a cihlově červené. RŠ 400 mm.</t>
  </si>
  <si>
    <t>kus</t>
  </si>
  <si>
    <t>998 71-3203</t>
  </si>
  <si>
    <t>Přesun hmot pro izolace tepelné, výšky do 24 m</t>
  </si>
  <si>
    <t>Pohledová plocha</t>
  </si>
  <si>
    <t>Odečet otvorových výplní</t>
  </si>
  <si>
    <t>Fasády</t>
  </si>
  <si>
    <t>Pohledová plocha přední</t>
  </si>
  <si>
    <t>Pohledová plocha zadní</t>
  </si>
  <si>
    <t>712</t>
  </si>
  <si>
    <t>Povlakove krytiny</t>
  </si>
  <si>
    <t>Povlaková krytina je provedena folií PVC položenou volně.</t>
  </si>
  <si>
    <t>Vodorovná část atiky</t>
  </si>
  <si>
    <t>Svislá část atiky</t>
  </si>
  <si>
    <t>Střešní nástavby</t>
  </si>
  <si>
    <t>712 49-1175</t>
  </si>
  <si>
    <t>Připevnění izolace kotvicími pásky, úhelníky, dodávka a montáž</t>
  </si>
  <si>
    <t>Systémové prvky pro provedení pokládky fólie - lišty, rohy, kouty, zakončovací profily</t>
  </si>
  <si>
    <t>998 71-2203</t>
  </si>
  <si>
    <t>Presun povlak kytina objekt v -24m</t>
  </si>
  <si>
    <t>Povlakové krytiny</t>
  </si>
  <si>
    <t>Izolace tepelná střech, desky , na lepidlo PUK</t>
  </si>
  <si>
    <t>24742201 PUK</t>
  </si>
  <si>
    <t>PUK lepidlo na tepelnou izolaci á 2 kg</t>
  </si>
  <si>
    <t>Jednosložkové polyuretanové lepidlo pro dlouhodobé přilepení tepelných izolací k savým a nesavým podkladním konstrukcím jako např. k asfaltovým pásům s minerálním posypem nebo kašírovaným netkanou textilií.  spotřeba ca. 120 g/m2  balení: 2 kg</t>
  </si>
  <si>
    <t>Tepelná izolace  z fenolické pěny, rovná hrana po obvodu.  Formát: 1250 x 600 mm  Souč. tepelné vodivosti 0,023</t>
  </si>
  <si>
    <t>4,32*1,1</t>
  </si>
  <si>
    <t>764 39-6810</t>
  </si>
  <si>
    <t>Demontáž krycí dilatační lišty, rš 250 mm, do 30°</t>
  </si>
  <si>
    <t>Dilatace na fasádě</t>
  </si>
  <si>
    <t>Demontáž oplechování  parapetů, rš od 100 do 330 mm</t>
  </si>
  <si>
    <t>764 39-5840</t>
  </si>
  <si>
    <t>Demontáž střešní dilatace, rš 500 mm, do 30°</t>
  </si>
  <si>
    <t>Konstrukce truhlářské</t>
  </si>
  <si>
    <t>998 76-6203</t>
  </si>
  <si>
    <t>K03</t>
  </si>
  <si>
    <t>K04</t>
  </si>
  <si>
    <t>K05</t>
  </si>
  <si>
    <t>K07</t>
  </si>
  <si>
    <t>55342 MAT</t>
  </si>
  <si>
    <t>Presun truhlarske kce objekt v -24m</t>
  </si>
  <si>
    <t>Montáž atypických konstrukcí hmotnosti do 100 kg</t>
  </si>
  <si>
    <t>95</t>
  </si>
  <si>
    <t>Různé dokončovací konstrukce a práce</t>
  </si>
  <si>
    <t>Různé dokončovací práce</t>
  </si>
  <si>
    <t>953 76-1131</t>
  </si>
  <si>
    <t>953 92-2112</t>
  </si>
  <si>
    <t>Krycí mřížka na odvětrání spíží</t>
  </si>
  <si>
    <t>Větrací mřížka plastová, povrchová, se síťkou, 300x150 mm</t>
  </si>
  <si>
    <t>Reprofilace stěn sanační maltou tl.4 mm</t>
  </si>
  <si>
    <t>979 01-1111</t>
  </si>
  <si>
    <t>Svislá doprava suti a vybouraných hmot za prvé podlaží</t>
  </si>
  <si>
    <t>979 01-1121</t>
  </si>
  <si>
    <t>978 01-5221</t>
  </si>
  <si>
    <t>Otlučení omítek vnějších MVC v složit.1-4 do 10 %</t>
  </si>
  <si>
    <t>Fasáda dle čištěných ploch</t>
  </si>
  <si>
    <t>Izolace proti vlhkosti svislá pásy přitavením, včetně dod. asf. pásu</t>
  </si>
  <si>
    <t>979 08-1111</t>
  </si>
  <si>
    <t>Odvoz suti a vybouraných hmot na skládku do 1 km</t>
  </si>
  <si>
    <t>979 08-1121</t>
  </si>
  <si>
    <t>Příplatek zakaždý další 1 km</t>
  </si>
  <si>
    <t>Odkop pro opravu izolace a zatažení zateplení pod terén</t>
  </si>
  <si>
    <t>Oplechování parapetů, rš 400 mm K01</t>
  </si>
  <si>
    <t xml:space="preserve">Položka je určena pro zhotovení + montáž lemování z ocelových pozinkovaných profilů na plochých střechách.  Obsahem položky je i zhotovení rohů, spojů, lišt, dilatací, zednické výpomoci </t>
  </si>
  <si>
    <t>55363000 SPC</t>
  </si>
  <si>
    <t xml:space="preserve"> 004 15 227</t>
  </si>
  <si>
    <t xml:space="preserve"> 646 18 633</t>
  </si>
  <si>
    <r>
      <t xml:space="preserve">Montáž tvarovky větrací spížní - vnější - </t>
    </r>
    <r>
      <rPr>
        <b/>
        <sz val="8"/>
        <rFont val="Arial CE"/>
        <family val="0"/>
      </rPr>
      <t>vm</t>
    </r>
  </si>
  <si>
    <t>Stávající dozdívky na zadním průčelím (pod okny 1.NP)</t>
  </si>
  <si>
    <t>622 R Dilatace</t>
  </si>
  <si>
    <t>Zateplení dilatace do hl. 200 mm vložením izolantu tl. 80 mm do dilatace a jeho fixace montážní  pěnou.</t>
  </si>
  <si>
    <t>Montáž dilatačních profilů do KZS</t>
  </si>
  <si>
    <t>622 32-3854RV1</t>
  </si>
  <si>
    <t>Zateplení dilatace vložením MV, lepení pomocí PUR pěny</t>
  </si>
  <si>
    <t>Odvětrání troubami PVC kruhovými 140x1,8 mm</t>
  </si>
  <si>
    <t>Napojení omítky na parapetní plechy na fasádě</t>
  </si>
  <si>
    <t>Napojení omítky na okenní rámy</t>
  </si>
  <si>
    <t>Lišta pro nadpraží oken</t>
  </si>
  <si>
    <t>Oprava izolace pod úrovní terénu před jeho zateplením</t>
  </si>
  <si>
    <t xml:space="preserve">(25,64+4,80+18,95+18,85+1,20+22,24+2,05+3,90+16,45+(1,20*2+0,20)*20)*0,60*0,40 </t>
  </si>
  <si>
    <t>RTS I / 2016</t>
  </si>
  <si>
    <t xml:space="preserve">V položce jsou zakalkulovány náklady: - frézování drážek v ŽB - zbavení drážky hrubších nečistot a prachových částí - vypláchnutí drážky vodou - vlepení výztuže (pevnost v tahu 1128 MPa) do kotevní malty, včetně dodávky materiálu </t>
  </si>
  <si>
    <t>Odhad 30 kusů á 0,80 m</t>
  </si>
  <si>
    <t>622 32-3041</t>
  </si>
  <si>
    <t>((1,00+2*0,65)*6+(0,90+1,60*2)*8+(2,10+1,60*2)*25+(1,20+1,60*2)*49+(0,90+2,35*2)*49+(2,35+1,50*2)*7)*0,15</t>
  </si>
  <si>
    <t>1,00*0,65*6+0,90*1,60*8+2,10*1,60*28+1,20*1,60*49+0,90*2,35*49+2,35*1,50*7</t>
  </si>
  <si>
    <t>Lodžie žiletky</t>
  </si>
  <si>
    <t>(1,00*2+0,20)*2,62*60+(1,00*2+0,20)*1,65*9</t>
  </si>
  <si>
    <t>Lodžie podhledy</t>
  </si>
  <si>
    <t>3,60*1,20*54</t>
  </si>
  <si>
    <t>Lodžie čela</t>
  </si>
  <si>
    <t>(18,03+0,30*2)*8*0,15+(7,20+0,30*2)*6*0,15</t>
  </si>
  <si>
    <t>(0,44+0,30+3,46+2,35+22,24+1,20+18,84+(1,20*2+1,20)*9)*21,92+3,00*2*1,20</t>
  </si>
  <si>
    <t>Přední průčelí, včetně soklu</t>
  </si>
  <si>
    <t>Zadní průčelí, včetně soklu</t>
  </si>
  <si>
    <t>(25,64+4,80+18,94+2,35+0,30)*22,05+3,00*2*1,20</t>
  </si>
  <si>
    <t>((1,00+0,65*2)*7+(2,10+1,60*2)*18+(2,35+1,60*2)*6+(1,20+1,60*2)*63+(0,90+2,35*2)*63+2,35*2,20)*0,15</t>
  </si>
  <si>
    <t>1,00*0,65*7+2,10*1,60*18+2,35*1,50*6+(1,520*1,60+0,90*2,35)*63+2,35*2,20</t>
  </si>
  <si>
    <t>(1,00*2+0,20)*2,67*74+(1,00*2+0,20)*1,55*8</t>
  </si>
  <si>
    <t>3,60*1,20*70</t>
  </si>
  <si>
    <t>(25,20+0,30*2)*8*0,15+(7,20+0,30*2)*6*0,15</t>
  </si>
  <si>
    <t>Štítová stěna (jižní)</t>
  </si>
  <si>
    <t>(9,00+0,30+7,45)*20,90</t>
  </si>
  <si>
    <t>((0,90+1,60*2)*6+1,80+2,20*2)*0,15</t>
  </si>
  <si>
    <t>0,90*1,60*6+2,20*1,80</t>
  </si>
  <si>
    <t>Štítová stěna (severní)</t>
  </si>
  <si>
    <t>(12,85+0,30)*13,025</t>
  </si>
  <si>
    <t>(0,90+1,60*2)*4*0,15</t>
  </si>
  <si>
    <t>0,90*1,60*4</t>
  </si>
  <si>
    <t>Strojovna výtahu</t>
  </si>
  <si>
    <t>3,45*(9,35*2+4,25*2)</t>
  </si>
  <si>
    <t>622 42-1491</t>
  </si>
  <si>
    <t>Doplňky zatepl. systémů, rohová lišta s okapničkou</t>
  </si>
  <si>
    <t>V položce jsou zakalkulovány náklady na dodávku a montáž rohové lišty s okapničkou - plast + tkanina</t>
  </si>
  <si>
    <t>Přední průčelí     1,00*6+0,90*8+2,10*28+2,10*49+2,35*7</t>
  </si>
  <si>
    <t>Zadní průčelí       1,00*7+2,10*18+2,35*6+2,10*63+2,35</t>
  </si>
  <si>
    <t>Štíty       0,90*(6+4)</t>
  </si>
  <si>
    <t>622 42-1492</t>
  </si>
  <si>
    <t>Doplňky zatepl. systémů, okenní lišta s tkaninou</t>
  </si>
  <si>
    <t>V položce jsou zakalkulovány náklady na dodávku a montáž okenní lišty - plast + tkanina</t>
  </si>
  <si>
    <t>Přední průčelí     (0,65*2+1)*6+(1,60*2+0,90)*8+(1,60*2+2,10)*28+(2,10+2,35*2)*49+(1,50*2+2,35)*7</t>
  </si>
  <si>
    <t>Zadní průčelí       (1,00+0,65*2)*7+(2,10+1,60*2)*18+(2,35+1,50*2)*6+(2,10+2,35*2)*63+(2,20+2,35)</t>
  </si>
  <si>
    <t>Štíty       (1,60*2+0,90)*(6+4)</t>
  </si>
  <si>
    <t>622 42-1493</t>
  </si>
  <si>
    <t>Doplňky zatepl. systémů, dilatační lišta s tkan.</t>
  </si>
  <si>
    <t>V položce jsou zakalkulovány náklady na dodávku a montáž dilatační lišty - plast + tkanina</t>
  </si>
  <si>
    <t>22,05+22,5+9,05*2</t>
  </si>
  <si>
    <t>622 42-1494</t>
  </si>
  <si>
    <t>Zakrývání výplní vnějších otvorů s rámy a zárubněmi, prováděné z lešení. Položka je určena pro zakrývání jakýmkoliv způsobem. Odkrytí je v položce započteno.</t>
  </si>
  <si>
    <t>0,90*1,60*10</t>
  </si>
  <si>
    <t>622 32-3124RV1</t>
  </si>
  <si>
    <t>0,60*(0,44+0,30+3,46+2,35+22,24+1,20+18,84)</t>
  </si>
  <si>
    <t>0,60*(25,64+4,80+18,94)</t>
  </si>
  <si>
    <t>622 32-3120RV1</t>
  </si>
  <si>
    <t>Zatepl. systém soklová část Z2, XPS tl. 30 mm, zakončený stěrkou s výztužnou tkaninou</t>
  </si>
  <si>
    <t>0,60*(1,20*2+0,20)*9</t>
  </si>
  <si>
    <t>0,60*(1,20*2+0,20)*11</t>
  </si>
  <si>
    <t>622 32-3831RV1</t>
  </si>
  <si>
    <t>Zatepl. systém fasáda Z2, minerální desky PV (λ = 0,037W/mK) tl. 30 mm, zakončený stěrkou s výztužnou tkaninou</t>
  </si>
  <si>
    <t>Podhledy lodžií      3,60*1,20*56</t>
  </si>
  <si>
    <t>Čela lodžií     (18,03+0,30*2)*8*0,15+(7,20+0,30*2)*6*0,15</t>
  </si>
  <si>
    <t>Podhledy lodžií      3,60*1,20*70</t>
  </si>
  <si>
    <t>Zatepl. systém fasáda Z1, minerální desky PV (λ = 0,035W/mK) tl. 140 mm, zakončený stěrkou s výztužnou tkaninou</t>
  </si>
  <si>
    <t>622 32-3834RV1</t>
  </si>
  <si>
    <t>Položka obsahuje: nanesení lepicího tmelu na minerální izolační desky, nalepení desek, natažení stěrky, vtlačení výztužné tkaniny (1,15 m2/m2), přehlazení stěrky, nanesení vyrovnávací stěrky. Ukončovací lišty rozpočtovány samostatně.</t>
  </si>
  <si>
    <t>Ostění výplní otvorů z minerálních desek tl. 30 mm</t>
  </si>
  <si>
    <t>((1,00+2*0,65)*6+(0,90+1,60*2)*8+(2,10+1,60*2)*25+(1,20+1,60*2)*49+(0,90+2,35*2)*49+(2,35+1,50*2)*7)*0,28</t>
  </si>
  <si>
    <t>((1,00+0,65*2)*7+(2,10+1,60*2)*18+(2,35+1,60*2)*6+(1,20+1,60*2)*63+(0,90+2,35*2)*63+2,35*2,20)*0,28</t>
  </si>
  <si>
    <t>((0,90+1,60*2)*6+1,80+2,20*2)*0,28</t>
  </si>
  <si>
    <t>(0,90+1,60*2)*4*0,28</t>
  </si>
  <si>
    <r>
      <t xml:space="preserve">Zateplovací systém, boční ostění, minerální  desky PV tl. 30 mm </t>
    </r>
    <r>
      <rPr>
        <b/>
        <sz val="8"/>
        <rFont val="Arial CE"/>
        <family val="0"/>
      </rPr>
      <t>(λ = 0,035 W/mK</t>
    </r>
    <r>
      <rPr>
        <sz val="8"/>
        <rFont val="Arial CE"/>
        <family val="2"/>
      </rPr>
      <t>), zakončený stěrkou s výztužnou tkaninou</t>
    </r>
  </si>
  <si>
    <t>Průčelí     22,05+22,50</t>
  </si>
  <si>
    <t>(1,00*6+0,90*8+2,10*28+2,10*49+2,35*7)*0,18</t>
  </si>
  <si>
    <t>(1,00*7+2,10*18+2,35*6+2,10*63+2,35)*0,18</t>
  </si>
  <si>
    <t>Štíty        0,90*(6+4)*0,18</t>
  </si>
  <si>
    <t>Atika    25,64+4,80+18,94+14,90+18,64+1,20+22,24+2,35+3,46+16,45</t>
  </si>
  <si>
    <t>602 01-1188</t>
  </si>
  <si>
    <t>Omítka stěn tenkovrstvá vnější silikonová barevná slož. II. ruč</t>
  </si>
  <si>
    <t>602 01-1191</t>
  </si>
  <si>
    <t>Podkladní nátěr pod tenkovrstvé omítky</t>
  </si>
  <si>
    <t>602 01-1195</t>
  </si>
  <si>
    <t>Podkladní nátěr pod mozaikové omítky</t>
  </si>
  <si>
    <t>602 01-6189RT2</t>
  </si>
  <si>
    <t>(18,03+0,30*2)*8*0,22+(7,20+0,30*2)*6*0,22</t>
  </si>
  <si>
    <t>(25,20+0,30*2)*8*0,22+(7,20+0,30*2)*6*0,22</t>
  </si>
  <si>
    <t>((0,90+1,60*2)*6+1,80+2,20*2)*0,22</t>
  </si>
  <si>
    <t>(0,90+1,60*2)*4*0,22</t>
  </si>
  <si>
    <t>Doplňky zatepl. systémů, podparapetní lišta s tkaninou</t>
  </si>
  <si>
    <t>Boční štíty   odhad 20,00 m2</t>
  </si>
  <si>
    <t>Průčelí     odhad 30,00 m2</t>
  </si>
  <si>
    <t>622 90-4112</t>
  </si>
  <si>
    <t>(25,64+4,80+18,95+18,85+1,20+22,24+2,05+3,90+16,45+(1,20*2+0,20)*20)*0,25</t>
  </si>
  <si>
    <t>(25,64+4,80+18,95+18,85+1,20+22,24+2,05+3,90+16,45+(1,20*2+0,20)*20)*0,35</t>
  </si>
  <si>
    <t>Přesun hmot do v do 60 m</t>
  </si>
  <si>
    <t>450,15+222,46+34,65</t>
  </si>
  <si>
    <t>(87,28+66,08+25,70)*0,35</t>
  </si>
  <si>
    <t>(87,28+66,08+25,70)*0,25</t>
  </si>
  <si>
    <t>(3,60*11+5,40*9)*0,45</t>
  </si>
  <si>
    <t>Fólie hydroizolační, šedá, mPVC tl 1,6mm, s PES mřížkou, s protiskluznou úpravou</t>
  </si>
  <si>
    <t>28322311</t>
  </si>
  <si>
    <t>87,28+66,08+25,70+3,60*11+5,40*9</t>
  </si>
  <si>
    <t>Profil vnitřní 100/40</t>
  </si>
  <si>
    <t>28322911</t>
  </si>
  <si>
    <t>28322912</t>
  </si>
  <si>
    <t>28322913</t>
  </si>
  <si>
    <t>Profil vnější 100/60</t>
  </si>
  <si>
    <t>Kotvicí profil + těsnící páska pro podtlakové kotvení</t>
  </si>
  <si>
    <t>28322914</t>
  </si>
  <si>
    <t>Zakončovací tmelící lišta pojistná</t>
  </si>
  <si>
    <t>(3,60*11+5,40*9)*3</t>
  </si>
  <si>
    <t>(87,28+66,08+25,70)*3+9,35+4,25</t>
  </si>
  <si>
    <t>Střecha nad obytnou plochou a strojovnou</t>
  </si>
  <si>
    <t xml:space="preserve">Položka je určena pro montáž tepelné izolace typu polystyren, polyuretan, nebo desky z fenolových pryskyřic, na plný podklad přilepením na lepidlo nanesené v pásech. </t>
  </si>
  <si>
    <t>713 14-1125</t>
  </si>
  <si>
    <t>Deska polystyrén samozhášivý EPS S, tl. 100 mm</t>
  </si>
  <si>
    <t>712 36-1701RT1</t>
  </si>
  <si>
    <t>Povlaková krytina fóliového typu do 10°, volně</t>
  </si>
  <si>
    <t>22,50*2+8,50*2</t>
  </si>
  <si>
    <t>Dilatace na střeše    14,90*2</t>
  </si>
  <si>
    <t>764 91-8332</t>
  </si>
  <si>
    <t>Z+M.lemov.z popl.plech.na plochých střech. rš 330</t>
  </si>
  <si>
    <t>Atiková okapnice Rš 300, K06   87,28+66,08+25,70</t>
  </si>
  <si>
    <t>Dilatační lišta Rš 300, K08   14,90*2</t>
  </si>
  <si>
    <t>Dilatační lišta střecha, K08</t>
  </si>
  <si>
    <t xml:space="preserve">Atiková okapnice Rš 300, K06  </t>
  </si>
  <si>
    <t>767 99-5105</t>
  </si>
  <si>
    <t xml:space="preserve">Al zábradlí s výplní bezpečnostním sklem </t>
  </si>
  <si>
    <t>12+49+12+35</t>
  </si>
  <si>
    <t xml:space="preserve">Al zábradlí na lodžiích s výplní bezpečnostním sklem </t>
  </si>
  <si>
    <t>108 ks*95 kg/ks</t>
  </si>
  <si>
    <t>venkovní sokl na lodžiích</t>
  </si>
  <si>
    <t>(3,60+1,00*2)*108</t>
  </si>
  <si>
    <t>podlahy lodžií</t>
  </si>
  <si>
    <t>771 57-9795</t>
  </si>
  <si>
    <t>Kladení dlažby keramické do TM, vel. do 400x400 mm</t>
  </si>
  <si>
    <t>771 21-2113</t>
  </si>
  <si>
    <t>Položka je určena pro kladení dlažby do tmele, rovnoběžně se stěnou, bez skládání složitých vzorů a tvarů. Položka obsahuje :  - zametení podkladu, - rozměření plochy,  - rozbalení balíků, - příprava a nanesení tmele na plochu, - řezání dlaždic, - kladení dlaždic, - spárování, čištění dlažby, odstranění odpadu.</t>
  </si>
  <si>
    <t>Dlažba na lodžiích</t>
  </si>
  <si>
    <t>771 57-8011</t>
  </si>
  <si>
    <t>Spára podlaha - stěna, silikonem</t>
  </si>
  <si>
    <t>Zatěsnění spáry mezi dlažbou o soklem  na lodžiích</t>
  </si>
  <si>
    <t>771 57-7953</t>
  </si>
  <si>
    <t>Podlahový profil ukončovací výšky 40 mm</t>
  </si>
  <si>
    <t>Podlahový profil k ukončení balkonů a teras. Dlažba se pokládá s 2 cm přesahem přes hranu profilu.</t>
  </si>
  <si>
    <t>3,60*108</t>
  </si>
  <si>
    <t>713 12-1111</t>
  </si>
  <si>
    <t>Izolace tepelná podlah na sucho, jednovrstvá</t>
  </si>
  <si>
    <t>Položení izolační desky do podlahy lodžie</t>
  </si>
  <si>
    <t>0,50*3,60*108</t>
  </si>
  <si>
    <t>28375522</t>
  </si>
  <si>
    <t>Fenolická deska, tl. 40 mm, λ = 0,022W/mK</t>
  </si>
  <si>
    <t>0,50*3,60*108*1,10</t>
  </si>
  <si>
    <t>711 40-1101</t>
  </si>
  <si>
    <t>Kontaktní stěrka pro izolace rohožemi</t>
  </si>
  <si>
    <t>Hydroizolace podlah v lodžiích</t>
  </si>
  <si>
    <t>3,60*1,20*108</t>
  </si>
  <si>
    <t>711 40-1111</t>
  </si>
  <si>
    <t>Rozmíchání suché směsi lepicího tmelu s vodou, nařezání pásů rohože na potřebný tvar, nanesení lepicího tmelu na podklad, zatlačení rohože do tmelu.</t>
  </si>
  <si>
    <t xml:space="preserve">Izolace a dilatace rohoží </t>
  </si>
  <si>
    <t>711 40-1112</t>
  </si>
  <si>
    <t>Systémová páska k přelepení spojů rohoží</t>
  </si>
  <si>
    <t>711 40-1152</t>
  </si>
  <si>
    <t>(3,90+2,05+1,20+22,24+1,20+1,20+18,84+2*1,20)*21,90</t>
  </si>
  <si>
    <t>(16,45+1,00*2+0,30)*20,90</t>
  </si>
  <si>
    <t>(14,90+2*1,20)*16,45</t>
  </si>
  <si>
    <t>(25,64+4,80+2*1,20)*21,70+(18,95+2*1,20)*22,45</t>
  </si>
  <si>
    <t>Fasáda objektu, prodloužení odvětrání spíží, 1 ks/byt, délka 0,15 m</t>
  </si>
  <si>
    <t>108*0,15</t>
  </si>
  <si>
    <t>Příplatek k suti za každé další podlaží</t>
  </si>
  <si>
    <t>979 08-6112</t>
  </si>
  <si>
    <t>Nakládání nebo překládání suti a vybouraných hmot</t>
  </si>
  <si>
    <t>965 08-1713</t>
  </si>
  <si>
    <t>Bourání dlaždic keramických tl. 1 cm, nad 1 m2</t>
  </si>
  <si>
    <t>Podlaha - lodžie</t>
  </si>
  <si>
    <t>965 04-8250</t>
  </si>
  <si>
    <t>Dočištění povrchu po vybourání dlažeb, MC do 50%</t>
  </si>
  <si>
    <t>998 01-1033</t>
  </si>
  <si>
    <t>Přesun hmot pro budovy z bloků výšky do 24 m</t>
  </si>
  <si>
    <t>Zateplení obvodového a střešního pláště a rekonstrukce balkónových konstrukcí domu s pečovatelskou službou na ul. Česká 320 v Kopřivnici</t>
  </si>
  <si>
    <t xml:space="preserve"> Město Kopřivnice, Štefánikova 1163, 742 21  Kopřivnice</t>
  </si>
  <si>
    <t>Zatepl. systém soklová část Z1, XPS (λ = 0,035W/mK) tl. 140 mm, zakončený stěrkou s výztužnou tkaninou</t>
  </si>
  <si>
    <t>Sokl z pásky šířky 18,5 cm</t>
  </si>
  <si>
    <t xml:space="preserve">Tepelně izolační desky z pěnového polystyrenu pro středně tlakově namáhané konstrukce. EPS S Stabil pro ploché střechy s běžným zatížením.  λ = 0,035 W/mK Napětí v tlaku CS(10) je min. 100 kPa Formát: 1000 x 500 mm </t>
  </si>
  <si>
    <t>28375768</t>
  </si>
  <si>
    <t>622 39-1112</t>
  </si>
  <si>
    <t>Příplatek za počet hmoždinek 8 ks/m2</t>
  </si>
  <si>
    <t>766 62-9302</t>
  </si>
  <si>
    <t>Montáž výplní plastových plochy do 2,70 m2</t>
  </si>
  <si>
    <t>Plastové dveře s výplní z izolačních profilů, 800/1900</t>
  </si>
  <si>
    <t>Plastový profil s výplní z izolačních panelů</t>
  </si>
  <si>
    <t>Plastové dveře, 800/1970, otevíravé</t>
  </si>
  <si>
    <t>Krycí plechy u podlahy na lodžiích</t>
  </si>
  <si>
    <t>764 43-0810</t>
  </si>
  <si>
    <t>Demontáž oplechování zdí, rš do 250 mm</t>
  </si>
  <si>
    <t>713 13-1131</t>
  </si>
  <si>
    <t>Izolace tepelná stěn lepením</t>
  </si>
  <si>
    <t>0,18*3,60*108</t>
  </si>
  <si>
    <t>Podlepení izolantu na lodžiích u podlahy, MV tl. 20 mm</t>
  </si>
  <si>
    <t>Podlepení izolantem pod atikovým panelem, MV tl. 70 mm</t>
  </si>
  <si>
    <t>0,10*(45,40+67,57)</t>
  </si>
  <si>
    <t>63140150</t>
  </si>
  <si>
    <t>Deska fasádní minerální vlákno-podélné tl. 20 mm</t>
  </si>
  <si>
    <t>(0,18*3,60*108)*1,1</t>
  </si>
  <si>
    <t>63140155</t>
  </si>
  <si>
    <t>Deska fasádní minerální vlákno-podélné tl. 80 mm</t>
  </si>
  <si>
    <t>(0,10*(45,40+67,57))*1,1</t>
  </si>
  <si>
    <t>Položka je určena pro kladení dlaždic do tmele. Položka obsahuje :  - zametení podkladu, - rozměření plochy,  - rozbalení balíků, třídění nebo rozpojení dlaždic dodávaných v blocích, - příprava a nanesení tmele na plochu, - řezání dlaždic, - kladení dlaždic, - spárování, čištění dlažby, odstranění odpadu.</t>
  </si>
  <si>
    <t>597642021 SPC</t>
  </si>
  <si>
    <t>597642031 SPC</t>
  </si>
  <si>
    <t>Keramická dlažba 300x300x9, protiskluzná, mrazuodolná</t>
  </si>
  <si>
    <t>58589980 SPC</t>
  </si>
  <si>
    <t>Lepidlo na keramické obklady a dlažby</t>
  </si>
  <si>
    <t>dle ploch, spotřeba tmelu: výška zubu 3-4 mm cca 1,5 -2,5 kg/m2</t>
  </si>
  <si>
    <t>953 R Hnízdo</t>
  </si>
  <si>
    <t>Dod. a mtž hnízdiště pro netopýry</t>
  </si>
  <si>
    <t>Hnízdiště dle pokynů ornitologů, do zateplovacího systému</t>
  </si>
  <si>
    <t>Venkovní práh a parapet na lodžiích</t>
  </si>
  <si>
    <t>Dodávka hliníkového zábradlí na lodžie, Z01, délky 3,60 m, viz výpis</t>
  </si>
  <si>
    <t>767 - Z01</t>
  </si>
  <si>
    <t>Dveře ze strojovny výtahu na střechu Dv1</t>
  </si>
  <si>
    <t>61143782 - Dv1</t>
  </si>
  <si>
    <t>801 19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</si>
  <si>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</si>
  <si>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</si>
  <si>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</si>
  <si>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</si>
  <si>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</si>
  <si>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</si>
  <si>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</si>
  <si>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</si>
  <si>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</si>
  <si>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</si>
  <si>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</si>
  <si>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</si>
  <si>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</si>
  <si>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</si>
  <si>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</si>
  <si>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</si>
  <si>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</si>
  <si>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</si>
  <si>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</si>
  <si>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</si>
  <si>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</si>
  <si>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</si>
  <si>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</si>
  <si>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</si>
  <si>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</si>
  <si>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</si>
  <si>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</si>
  <si>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</si>
  <si>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</si>
  <si>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</si>
  <si>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</si>
  <si>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</si>
  <si>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</si>
  <si>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</si>
  <si>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</si>
  <si>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</si>
  <si>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</si>
  <si>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</si>
  <si>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</si>
  <si>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</si>
  <si>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</si>
  <si>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</si>
  <si>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</si>
  <si>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</si>
  <si>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</si>
  <si>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</si>
  <si>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</si>
  <si>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</si>
  <si>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53</t>
  </si>
  <si>
    <t>54</t>
  </si>
  <si>
    <t>55</t>
  </si>
  <si>
    <t>56</t>
  </si>
  <si>
    <t>57</t>
  </si>
  <si>
    <t>58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</si>
  <si>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</si>
  <si>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</si>
  <si>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</si>
  <si>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</si>
  <si>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</si>
  <si>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</si>
  <si>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</si>
  <si>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</si>
  <si>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</si>
  <si>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</si>
  <si>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</si>
  <si>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</si>
  <si>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</si>
  <si>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</si>
  <si>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</si>
  <si>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</si>
  <si>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</si>
  <si>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</si>
  <si>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</si>
  <si>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</si>
  <si>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</si>
  <si>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</si>
  <si>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</si>
  <si>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</si>
  <si>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</si>
  <si>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</si>
  <si>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</si>
  <si>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</si>
  <si>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</si>
  <si>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</si>
  <si>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</si>
  <si>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</si>
  <si>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</si>
  <si>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54872371 SPC</t>
  </si>
  <si>
    <t>380 R Kotvení</t>
  </si>
  <si>
    <t>Montáž spínacích kotev</t>
  </si>
  <si>
    <t>Prokotvení sendvičových panelů fasády - vnější moniérky do vnitřní žb stěny</t>
  </si>
  <si>
    <t>Čelní stěna</t>
  </si>
  <si>
    <t>7,00*4*5 ks/panel</t>
  </si>
  <si>
    <t>7,00*1*3 ks/panel</t>
  </si>
  <si>
    <t>Bočlní stěna</t>
  </si>
  <si>
    <t>6,00*1*5 ks/panel</t>
  </si>
  <si>
    <t>7,00*6*6 ks/panel</t>
  </si>
  <si>
    <t>Zadní stěna</t>
  </si>
  <si>
    <t>7,00*2*5 ks/panel</t>
  </si>
  <si>
    <t>7,00*1*5 ks/panel</t>
  </si>
  <si>
    <t>5,00*1*5 ks/panel</t>
  </si>
  <si>
    <t>6,00*5*5 ks/panel</t>
  </si>
  <si>
    <t>Dle montáže kotev</t>
  </si>
  <si>
    <t>50</t>
  </si>
  <si>
    <t>98</t>
  </si>
  <si>
    <t>Kotva průvleková pro vzduchovou mezeru  pro vzdálenost stěn 45 - 85  mm  Materiál/provedení: nerez W 1.4571/1.4401 (A4)  kotvení do železobetonu</t>
  </si>
  <si>
    <t>Kotva průvleková - 200/8 - A4</t>
  </si>
  <si>
    <t>VÝKAZ VÝMĚR - NÁKLADY ZPŮSOBILÉ</t>
  </si>
  <si>
    <t>Rekapitulace - NÁKLADY ZPŮSOBILÉ</t>
  </si>
  <si>
    <t>(9,00+0,30+7,45)*20,60</t>
  </si>
  <si>
    <t>0,60*(12,85+0,30)+0,60*(6,08+0,68+0,30+7,45)</t>
  </si>
  <si>
    <t>Žiletky (všechny)    0,75*2*2,65*(47+61)+0,2*2,65*(60+74)+0,2*2,65*(60+74)+(0,75*2*21+0,75*2*18)*2+(0,75*2+0,2)*1,65*9+(0,75*2+0,2)*2,3*3+(0,75*2+0,2)*1,55*8</t>
  </si>
  <si>
    <t>0,60*(6,08+0,68+0,30+7,45)</t>
  </si>
  <si>
    <t>(450,15+222,46)*2+34,65</t>
  </si>
  <si>
    <t>(450,15*0,20+222,46*0,20+34,65*0,10)*1,10</t>
  </si>
  <si>
    <t>dle plochy střech   194,4*0,200 kg/m2</t>
  </si>
  <si>
    <t>Přední průčelí     1,00*6+0,90*8+2,10*28+2,35*7</t>
  </si>
  <si>
    <t>Zadní průčelí       1,00*7+2,10*18+2,35*6+2,35</t>
  </si>
  <si>
    <t>Horní hrana zateplení arkýřů    (1,30*2+7,30)*2</t>
  </si>
  <si>
    <t>Podhled přesahu strojovny nad schodištěm   0,55*3,46</t>
  </si>
  <si>
    <t>Podhled přesahu strojovny nad schodištěm   0,40*3,46</t>
  </si>
  <si>
    <t>621471119</t>
  </si>
  <si>
    <t>Příplatek za provádění úprav na podhledech</t>
  </si>
  <si>
    <t>Podhledy arkýřů   7,30*1,30*2</t>
  </si>
  <si>
    <t>Podhledy arkýřů</t>
  </si>
  <si>
    <t>7,30*1,30*2</t>
  </si>
  <si>
    <t>17a</t>
  </si>
  <si>
    <t>711212113</t>
  </si>
  <si>
    <t>(0,90+1,20)*0,35*108</t>
  </si>
  <si>
    <t>Keramická dlažba 400x400x9, protiskluzná, mrazuodolná</t>
  </si>
  <si>
    <t xml:space="preserve">dle ploch, zvýšený o 15%    </t>
  </si>
  <si>
    <t>1,00*0,65*6+0,90*1,60*8+2,10*1,60*28+1,20*1,60*49+0,90*2,35*49+2,35*1,25*7</t>
  </si>
  <si>
    <t>1,00*0,65*7+2,10*1,60*18+2,35*1,25*6+(1,520*1,60+0,90*2,35)*63+2,35*2,20</t>
  </si>
  <si>
    <t>Dle zateplovaných ploch na 1/2 plochy    (2850,9486+1349,467)/2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</si>
</sst>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  <numFmt numFmtId="167" formatCode="#,##0.00_ ;[Red]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_ ;[Red]\-#,##0\ "/>
    <numFmt numFmtId="172" formatCode="#,##0.00\ &quot;Kč&quot;"/>
    <numFmt numFmtId="173" formatCode="#,##0.0"/>
    <numFmt numFmtId="174" formatCode="0.0"/>
    <numFmt numFmtId="175" formatCode="_-* #,##0.0\ _K_č_-;\-* #,##0.0\ _K_č_-;_-* &quot;-&quot;??\ _K_č_-;_-@_-"/>
    <numFmt numFmtId="176" formatCode="_-* #,##0\ _K_č_-;\-* #,##0\ _K_č_-;_-* &quot;-&quot;??\ _K_č_-;_-@_-"/>
    <numFmt numFmtId="177" formatCode="0.0000"/>
    <numFmt numFmtId="178" formatCode="#,##0.00;[Red]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_-* #,##0.000\ _K_č_-;\-* #,##0.000\ _K_č_-;_-* &quot;-&quot;??\ _K_č_-;_-@_-"/>
    <numFmt numFmtId="184" formatCode="_-* #,##0.0000\ _K_č_-;\-* #,##0.0000\ _K_č_-;_-* &quot;-&quot;??\ _K_č_-;_-@_-"/>
  </numFmts>
  <fonts count="58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8"/>
      <color indexed="18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2"/>
      <name val="Arial CE"/>
      <family val="2"/>
    </font>
    <font>
      <sz val="8"/>
      <color indexed="30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3"/>
      <name val="Arial CE"/>
      <family val="2"/>
    </font>
    <font>
      <sz val="8"/>
      <color rgb="FF0070C0"/>
      <name val="Arial CE"/>
      <family val="2"/>
    </font>
    <font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41" fillId="21" borderId="0" applyNumberFormat="0" applyBorder="0" applyAlignment="0" applyProtection="0"/>
    <xf numFmtId="0" fontId="42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7" fillId="23" borderId="0" applyNumberFormat="0" applyBorder="0" applyAlignment="0" applyProtection="0"/>
    <xf numFmtId="0" fontId="8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8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7" fillId="20" borderId="0">
      <alignment horizontal="right"/>
      <protection/>
    </xf>
    <xf numFmtId="0" fontId="51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52" fillId="27" borderId="13" applyNumberFormat="0" applyAlignment="0" applyProtection="0"/>
    <xf numFmtId="0" fontId="53" fillId="27" borderId="14" applyNumberFormat="0" applyAlignment="0" applyProtection="0"/>
    <xf numFmtId="0" fontId="5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303">
    <xf numFmtId="0" fontId="0" fillId="0" borderId="0" xfId="0" applyAlignment="1">
      <alignment/>
    </xf>
    <xf numFmtId="4" fontId="0" fillId="0" borderId="12" xfId="70" applyProtection="1">
      <alignment/>
      <protection locked="0"/>
    </xf>
    <xf numFmtId="0" fontId="0" fillId="0" borderId="0" xfId="0" applyFont="1" applyAlignment="1">
      <alignment/>
    </xf>
    <xf numFmtId="0" fontId="0" fillId="0" borderId="15" xfId="68" applyFont="1" applyBorder="1" applyProtection="1">
      <alignment horizontal="center"/>
      <protection locked="0"/>
    </xf>
    <xf numFmtId="0" fontId="0" fillId="0" borderId="0" xfId="69" applyFont="1" applyProtection="1">
      <alignment/>
      <protection locked="0"/>
    </xf>
    <xf numFmtId="164" fontId="0" fillId="0" borderId="12" xfId="71">
      <alignment/>
      <protection/>
    </xf>
    <xf numFmtId="0" fontId="0" fillId="0" borderId="16" xfId="68" applyNumberFormat="1" applyFont="1" applyBorder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6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8" fillId="0" borderId="24" xfId="61" applyBorder="1">
      <alignment horizontal="left" vertical="center"/>
      <protection/>
    </xf>
    <xf numFmtId="0" fontId="8" fillId="0" borderId="33" xfId="61" applyBorder="1">
      <alignment horizontal="left" vertical="center"/>
      <protection/>
    </xf>
    <xf numFmtId="3" fontId="4" fillId="0" borderId="3" xfId="43" applyBorder="1">
      <alignment vertical="center"/>
      <protection/>
    </xf>
    <xf numFmtId="3" fontId="4" fillId="0" borderId="24" xfId="43" applyBorder="1">
      <alignment vertical="center"/>
      <protection/>
    </xf>
    <xf numFmtId="3" fontId="4" fillId="0" borderId="33" xfId="43" applyBorder="1">
      <alignment vertical="center"/>
      <protection/>
    </xf>
    <xf numFmtId="3" fontId="4" fillId="0" borderId="34" xfId="43" applyBorder="1">
      <alignment vertical="center"/>
      <protection/>
    </xf>
    <xf numFmtId="3" fontId="4" fillId="0" borderId="35" xfId="43" applyBorder="1">
      <alignment vertical="center"/>
      <protection/>
    </xf>
    <xf numFmtId="3" fontId="4" fillId="0" borderId="36" xfId="43" applyBorder="1">
      <alignment vertical="center"/>
      <protection/>
    </xf>
    <xf numFmtId="3" fontId="4" fillId="0" borderId="37" xfId="43" applyBorder="1">
      <alignment vertical="center"/>
      <protection/>
    </xf>
    <xf numFmtId="3" fontId="4" fillId="0" borderId="20" xfId="43" applyBorder="1">
      <alignment vertical="center"/>
      <protection/>
    </xf>
    <xf numFmtId="0" fontId="8" fillId="0" borderId="30" xfId="0" applyFont="1" applyBorder="1" applyAlignment="1">
      <alignment vertical="top"/>
    </xf>
    <xf numFmtId="3" fontId="4" fillId="34" borderId="34" xfId="43" applyFill="1" applyBorder="1">
      <alignment vertical="center"/>
      <protection/>
    </xf>
    <xf numFmtId="0" fontId="8" fillId="0" borderId="8" xfId="61" applyBorder="1" applyAlignment="1">
      <alignment horizontal="left" vertical="center"/>
      <protection/>
    </xf>
    <xf numFmtId="0" fontId="8" fillId="0" borderId="27" xfId="61" applyBorder="1" applyAlignment="1">
      <alignment horizontal="left" vertical="center"/>
      <protection/>
    </xf>
    <xf numFmtId="0" fontId="8" fillId="0" borderId="29" xfId="61" applyBorder="1" applyAlignment="1">
      <alignment horizontal="left" vertical="center"/>
      <protection/>
    </xf>
    <xf numFmtId="0" fontId="8" fillId="0" borderId="30" xfId="61" applyBorder="1" applyAlignment="1">
      <alignment horizontal="left" vertical="center"/>
      <protection/>
    </xf>
    <xf numFmtId="0" fontId="8" fillId="0" borderId="25" xfId="61" applyBorder="1" applyAlignment="1">
      <alignment horizontal="left" vertical="center"/>
      <protection/>
    </xf>
    <xf numFmtId="0" fontId="8" fillId="0" borderId="38" xfId="61" applyBorder="1" applyAlignment="1">
      <alignment horizontal="left" vertical="center"/>
      <protection/>
    </xf>
    <xf numFmtId="0" fontId="8" fillId="0" borderId="3" xfId="61" applyBorder="1">
      <alignment horizontal="left" vertical="center"/>
      <protection/>
    </xf>
    <xf numFmtId="0" fontId="8" fillId="0" borderId="39" xfId="61" applyBorder="1">
      <alignment horizontal="left" vertical="center"/>
      <protection/>
    </xf>
    <xf numFmtId="0" fontId="8" fillId="0" borderId="40" xfId="61" applyBorder="1">
      <alignment horizontal="left" vertical="center"/>
      <protection/>
    </xf>
    <xf numFmtId="0" fontId="9" fillId="0" borderId="0" xfId="0" applyFont="1" applyBorder="1" applyAlignment="1">
      <alignment horizontal="right"/>
    </xf>
    <xf numFmtId="3" fontId="4" fillId="0" borderId="41" xfId="43" applyBorder="1">
      <alignment vertical="center"/>
      <protection/>
    </xf>
    <xf numFmtId="3" fontId="4" fillId="0" borderId="42" xfId="43" applyBorder="1">
      <alignment vertical="center"/>
      <protection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4" fillId="0" borderId="0" xfId="43" applyBorder="1">
      <alignment vertical="center"/>
      <protection/>
    </xf>
    <xf numFmtId="0" fontId="13" fillId="0" borderId="0" xfId="0" applyFont="1" applyAlignment="1">
      <alignment vertical="center"/>
    </xf>
    <xf numFmtId="0" fontId="13" fillId="0" borderId="11" xfId="68" applyFont="1" applyAlignment="1" applyProtection="1">
      <alignment horizontal="center" vertical="center"/>
      <protection locked="0"/>
    </xf>
    <xf numFmtId="0" fontId="13" fillId="0" borderId="11" xfId="69" applyFont="1" applyBorder="1" applyAlignment="1" applyProtection="1">
      <alignment vertical="center"/>
      <protection locked="0"/>
    </xf>
    <xf numFmtId="4" fontId="13" fillId="0" borderId="12" xfId="70" applyFont="1" applyAlignment="1" applyProtection="1">
      <alignment vertical="center"/>
      <protection locked="0"/>
    </xf>
    <xf numFmtId="164" fontId="13" fillId="0" borderId="12" xfId="71" applyFont="1" applyAlignment="1">
      <alignment vertical="center"/>
      <protection/>
    </xf>
    <xf numFmtId="0" fontId="13" fillId="0" borderId="0" xfId="0" applyFont="1" applyAlignment="1">
      <alignment vertical="center"/>
    </xf>
    <xf numFmtId="4" fontId="13" fillId="0" borderId="0" xfId="70" applyFont="1" applyBorder="1" applyAlignment="1" applyProtection="1">
      <alignment vertical="center"/>
      <protection locked="0"/>
    </xf>
    <xf numFmtId="0" fontId="2" fillId="0" borderId="4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" fontId="13" fillId="0" borderId="44" xfId="7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2" fillId="0" borderId="43" xfId="7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15" fillId="0" borderId="0" xfId="37" applyFont="1" applyAlignment="1" applyProtection="1">
      <alignment horizontal="center" vertical="center"/>
      <protection/>
    </xf>
    <xf numFmtId="49" fontId="15" fillId="0" borderId="0" xfId="57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38" applyFont="1" applyBorder="1" applyAlignment="1">
      <alignment horizontal="left" vertical="center"/>
    </xf>
    <xf numFmtId="0" fontId="5" fillId="0" borderId="0" xfId="58" applyFont="1" applyBorder="1" applyAlignment="1" applyProtection="1">
      <alignment horizontal="left" vertical="center" wrapText="1"/>
      <protection/>
    </xf>
    <xf numFmtId="49" fontId="5" fillId="0" borderId="0" xfId="50" applyFont="1" applyBorder="1" applyAlignment="1">
      <alignment horizontal="center" vertical="center"/>
    </xf>
    <xf numFmtId="164" fontId="5" fillId="0" borderId="0" xfId="51" applyFont="1" applyAlignment="1">
      <alignment vertical="center"/>
    </xf>
    <xf numFmtId="164" fontId="5" fillId="0" borderId="0" xfId="44" applyFont="1" applyAlignment="1">
      <alignment vertical="center"/>
    </xf>
    <xf numFmtId="4" fontId="5" fillId="0" borderId="0" xfId="34" applyFont="1" applyAlignment="1" applyProtection="1">
      <alignment vertical="center"/>
      <protection/>
    </xf>
    <xf numFmtId="4" fontId="5" fillId="20" borderId="0" xfId="35" applyFont="1" applyAlignment="1">
      <alignment vertical="center"/>
      <protection/>
    </xf>
    <xf numFmtId="0" fontId="56" fillId="0" borderId="0" xfId="0" applyFont="1" applyAlignment="1">
      <alignment/>
    </xf>
    <xf numFmtId="164" fontId="56" fillId="0" borderId="0" xfId="51" applyFont="1">
      <alignment/>
    </xf>
    <xf numFmtId="0" fontId="5" fillId="0" borderId="0" xfId="79" applyFont="1" applyAlignment="1">
      <alignment vertical="center"/>
      <protection/>
    </xf>
    <xf numFmtId="49" fontId="14" fillId="0" borderId="0" xfId="39" applyFont="1" applyAlignment="1">
      <alignment vertical="center"/>
    </xf>
    <xf numFmtId="0" fontId="15" fillId="0" borderId="0" xfId="59" applyFont="1" applyAlignment="1">
      <alignment horizontal="left" vertical="center" wrapText="1"/>
    </xf>
    <xf numFmtId="4" fontId="15" fillId="20" borderId="0" xfId="73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10" fontId="5" fillId="0" borderId="0" xfId="66" applyFont="1" applyAlignment="1">
      <alignment vertical="center"/>
    </xf>
    <xf numFmtId="49" fontId="5" fillId="0" borderId="0" xfId="50" applyFont="1" applyFill="1" applyBorder="1" applyAlignment="1">
      <alignment horizontal="center" vertical="center"/>
    </xf>
    <xf numFmtId="49" fontId="5" fillId="0" borderId="0" xfId="38" applyFont="1" applyFill="1" applyBorder="1" applyAlignment="1">
      <alignment horizontal="left" vertical="center"/>
    </xf>
    <xf numFmtId="0" fontId="16" fillId="20" borderId="0" xfId="77" applyFont="1" applyAlignment="1">
      <alignment horizontal="right" vertical="center"/>
      <protection/>
    </xf>
    <xf numFmtId="4" fontId="5" fillId="0" borderId="0" xfId="35" applyFont="1" applyFill="1" applyAlignment="1">
      <alignment vertical="center"/>
      <protection/>
    </xf>
    <xf numFmtId="49" fontId="5" fillId="0" borderId="0" xfId="62" applyFont="1" applyFill="1" applyAlignment="1">
      <alignment horizontal="center" vertical="center"/>
    </xf>
    <xf numFmtId="164" fontId="5" fillId="0" borderId="0" xfId="44" applyFont="1" applyFill="1" applyAlignment="1">
      <alignment vertical="center"/>
    </xf>
    <xf numFmtId="164" fontId="5" fillId="0" borderId="0" xfId="45" applyFont="1" applyFill="1" applyAlignment="1">
      <alignment vertical="center"/>
      <protection/>
    </xf>
    <xf numFmtId="4" fontId="5" fillId="0" borderId="0" xfId="34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56" fillId="0" borderId="0" xfId="50" applyFont="1" applyBorder="1">
      <alignment horizontal="left"/>
    </xf>
    <xf numFmtId="0" fontId="5" fillId="0" borderId="0" xfId="79" applyFont="1" applyFill="1" applyAlignment="1">
      <alignment vertical="center"/>
      <protection/>
    </xf>
    <xf numFmtId="0" fontId="16" fillId="0" borderId="0" xfId="77" applyFont="1" applyFill="1" applyAlignment="1">
      <alignment horizontal="right" vertical="center"/>
      <protection/>
    </xf>
    <xf numFmtId="176" fontId="0" fillId="0" borderId="0" xfId="41" applyNumberFormat="1" applyFont="1" applyAlignment="1">
      <alignment horizontal="right"/>
    </xf>
    <xf numFmtId="49" fontId="13" fillId="0" borderId="11" xfId="69" applyNumberFormat="1" applyFont="1" applyBorder="1" applyAlignment="1" applyProtection="1">
      <alignment vertical="center"/>
      <protection locked="0"/>
    </xf>
    <xf numFmtId="164" fontId="15" fillId="0" borderId="0" xfId="72" applyFont="1" applyFill="1" applyAlignment="1">
      <alignment vertical="center"/>
      <protection/>
    </xf>
    <xf numFmtId="4" fontId="15" fillId="0" borderId="0" xfId="73" applyFont="1" applyFill="1" applyAlignment="1">
      <alignment vertical="center"/>
      <protection/>
    </xf>
    <xf numFmtId="49" fontId="13" fillId="0" borderId="11" xfId="68" applyNumberFormat="1" applyFont="1" applyAlignment="1" applyProtection="1">
      <alignment horizontal="center" vertical="center"/>
      <protection locked="0"/>
    </xf>
    <xf numFmtId="0" fontId="56" fillId="0" borderId="0" xfId="81" applyFont="1" applyAlignment="1">
      <alignment wrapText="1"/>
      <protection/>
    </xf>
    <xf numFmtId="0" fontId="15" fillId="0" borderId="0" xfId="59" applyFont="1" applyFill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56" fillId="0" borderId="0" xfId="81" applyFont="1" applyAlignment="1">
      <alignment vertical="center" wrapText="1"/>
      <protection/>
    </xf>
    <xf numFmtId="164" fontId="56" fillId="0" borderId="0" xfId="51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5" fillId="0" borderId="0" xfId="62" applyFont="1" applyFill="1" applyAlignment="1" quotePrefix="1">
      <alignment horizontal="center" vertical="center"/>
    </xf>
    <xf numFmtId="2" fontId="5" fillId="0" borderId="0" xfId="0" applyNumberFormat="1" applyFont="1" applyFill="1" applyAlignment="1">
      <alignment vertical="center"/>
    </xf>
    <xf numFmtId="49" fontId="14" fillId="0" borderId="0" xfId="39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0" xfId="39" applyFont="1" applyAlignment="1">
      <alignment vertical="center"/>
    </xf>
    <xf numFmtId="164" fontId="5" fillId="0" borderId="0" xfId="51" applyFont="1" applyFill="1" applyAlignment="1">
      <alignment vertical="center"/>
    </xf>
    <xf numFmtId="49" fontId="5" fillId="0" borderId="0" xfId="39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59" applyFont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49" fontId="56" fillId="0" borderId="0" xfId="50" applyFont="1" applyBorder="1" applyAlignment="1">
      <alignment horizontal="center"/>
    </xf>
    <xf numFmtId="164" fontId="14" fillId="35" borderId="0" xfId="45" applyFont="1" applyFill="1" applyAlignment="1">
      <alignment vertical="center"/>
      <protection/>
    </xf>
    <xf numFmtId="0" fontId="56" fillId="0" borderId="0" xfId="0" applyFont="1" applyAlignment="1">
      <alignment horizontal="center"/>
    </xf>
    <xf numFmtId="0" fontId="56" fillId="0" borderId="0" xfId="81" applyFont="1" applyAlignment="1">
      <alignment horizontal="center" vertical="center" wrapText="1"/>
      <protection/>
    </xf>
    <xf numFmtId="0" fontId="56" fillId="0" borderId="0" xfId="58" applyFont="1" applyBorder="1" applyAlignment="1" applyProtection="1">
      <alignment horizontal="left" wrapText="1"/>
      <protection/>
    </xf>
    <xf numFmtId="0" fontId="56" fillId="0" borderId="0" xfId="81" applyFont="1" applyAlignment="1">
      <alignment horizontal="left" vertical="center" wrapText="1"/>
      <protection/>
    </xf>
    <xf numFmtId="0" fontId="56" fillId="0" borderId="0" xfId="81" applyFont="1" applyAlignment="1">
      <alignment horizontal="center"/>
      <protection/>
    </xf>
    <xf numFmtId="0" fontId="56" fillId="0" borderId="0" xfId="81" applyFont="1" applyAlignment="1">
      <alignment wrapText="1"/>
      <protection/>
    </xf>
    <xf numFmtId="164" fontId="56" fillId="0" borderId="0" xfId="51" applyFont="1" applyFill="1">
      <alignment/>
    </xf>
    <xf numFmtId="49" fontId="56" fillId="0" borderId="0" xfId="50" applyFont="1" applyBorder="1" applyAlignment="1">
      <alignment vertical="center"/>
    </xf>
    <xf numFmtId="49" fontId="5" fillId="0" borderId="0" xfId="50" applyFont="1" applyBorder="1" applyAlignment="1">
      <alignment horizontal="left" vertical="center"/>
    </xf>
    <xf numFmtId="0" fontId="56" fillId="0" borderId="0" xfId="58" applyFont="1" applyBorder="1" applyAlignment="1" applyProtection="1">
      <alignment horizontal="left" vertical="center" wrapText="1"/>
      <protection/>
    </xf>
    <xf numFmtId="49" fontId="56" fillId="0" borderId="0" xfId="50" applyFont="1" applyBorder="1" applyAlignment="1">
      <alignment horizontal="center" vertical="center"/>
    </xf>
    <xf numFmtId="0" fontId="5" fillId="0" borderId="0" xfId="81" applyFont="1" applyAlignment="1">
      <alignment vertical="center" wrapText="1"/>
      <protection/>
    </xf>
    <xf numFmtId="49" fontId="5" fillId="0" borderId="0" xfId="39" applyFont="1" applyAlignment="1">
      <alignment vertical="center"/>
    </xf>
    <xf numFmtId="0" fontId="56" fillId="0" borderId="0" xfId="81" applyFont="1" applyAlignment="1">
      <alignment horizontal="left" wrapText="1"/>
      <protection/>
    </xf>
    <xf numFmtId="49" fontId="14" fillId="0" borderId="0" xfId="38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6" fillId="0" borderId="0" xfId="81" applyFont="1" applyAlignment="1">
      <alignment horizontal="left" vertical="center" wrapText="1"/>
      <protection/>
    </xf>
    <xf numFmtId="0" fontId="56" fillId="0" borderId="0" xfId="58" applyFont="1" applyBorder="1" applyAlignment="1" applyProtection="1">
      <alignment horizontal="left" wrapText="1"/>
      <protection/>
    </xf>
    <xf numFmtId="4" fontId="13" fillId="0" borderId="0" xfId="0" applyNumberFormat="1" applyFont="1" applyAlignment="1">
      <alignment vertical="center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56" fillId="0" borderId="0" xfId="58" applyFont="1" applyBorder="1" applyAlignment="1" applyProtection="1">
      <alignment horizontal="left" wrapText="1"/>
      <protection/>
    </xf>
    <xf numFmtId="0" fontId="5" fillId="0" borderId="0" xfId="0" applyFont="1" applyAlignment="1">
      <alignment horizontal="left" vertical="center"/>
    </xf>
    <xf numFmtId="0" fontId="56" fillId="0" borderId="0" xfId="58" applyFont="1" applyBorder="1" applyAlignment="1" applyProtection="1">
      <alignment horizontal="left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56" fillId="0" borderId="0" xfId="81" applyFont="1" applyFill="1" applyAlignment="1">
      <alignment wrapText="1"/>
      <protection/>
    </xf>
    <xf numFmtId="0" fontId="56" fillId="0" borderId="0" xfId="0" applyFont="1" applyFill="1" applyAlignment="1">
      <alignment horizontal="center"/>
    </xf>
    <xf numFmtId="4" fontId="5" fillId="35" borderId="0" xfId="35" applyFont="1" applyFill="1" applyAlignment="1">
      <alignment vertical="center"/>
      <protection/>
    </xf>
    <xf numFmtId="0" fontId="56" fillId="0" borderId="0" xfId="58" applyFont="1" applyBorder="1" applyAlignment="1" applyProtection="1">
      <alignment wrapText="1"/>
      <protection/>
    </xf>
    <xf numFmtId="0" fontId="56" fillId="0" borderId="0" xfId="58" applyFont="1" applyBorder="1" applyAlignment="1" applyProtection="1">
      <alignment horizontal="left" wrapText="1"/>
      <protection/>
    </xf>
    <xf numFmtId="49" fontId="5" fillId="36" borderId="0" xfId="62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49" fontId="56" fillId="0" borderId="0" xfId="38" applyFont="1" applyBorder="1" applyAlignment="1">
      <alignment horizontal="center" vertical="center"/>
    </xf>
    <xf numFmtId="0" fontId="8" fillId="0" borderId="47" xfId="61" applyBorder="1">
      <alignment horizontal="left" vertical="center"/>
      <protection/>
    </xf>
    <xf numFmtId="0" fontId="8" fillId="0" borderId="48" xfId="61" applyBorder="1">
      <alignment horizontal="left" vertical="center"/>
      <protection/>
    </xf>
    <xf numFmtId="0" fontId="8" fillId="0" borderId="27" xfId="61" applyBorder="1">
      <alignment horizontal="left" vertical="center"/>
      <protection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7" xfId="76" applyNumberFormat="1" applyBorder="1">
      <alignment horizontal="left" vertical="center"/>
      <protection/>
    </xf>
    <xf numFmtId="0" fontId="4" fillId="0" borderId="48" xfId="76" applyNumberFormat="1" applyBorder="1">
      <alignment horizontal="left" vertical="center"/>
      <protection/>
    </xf>
    <xf numFmtId="0" fontId="4" fillId="0" borderId="27" xfId="76" applyNumberFormat="1" applyBorder="1">
      <alignment horizontal="left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9" fillId="0" borderId="5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0" fontId="8" fillId="0" borderId="47" xfId="76" applyNumberFormat="1" applyFont="1" applyBorder="1">
      <alignment horizontal="left" vertical="center"/>
      <protection/>
    </xf>
    <xf numFmtId="0" fontId="8" fillId="0" borderId="54" xfId="76" applyNumberFormat="1" applyFont="1" applyBorder="1">
      <alignment horizontal="left" vertical="center"/>
      <protection/>
    </xf>
    <xf numFmtId="0" fontId="8" fillId="0" borderId="47" xfId="61" applyBorder="1" applyAlignment="1">
      <alignment horizontal="center" vertical="center"/>
      <protection/>
    </xf>
    <xf numFmtId="0" fontId="8" fillId="0" borderId="54" xfId="61" applyBorder="1" applyAlignment="1">
      <alignment horizontal="center" vertical="center"/>
      <protection/>
    </xf>
    <xf numFmtId="0" fontId="0" fillId="0" borderId="47" xfId="76" applyNumberFormat="1" applyFont="1" applyBorder="1">
      <alignment horizontal="left" vertical="center"/>
      <protection/>
    </xf>
    <xf numFmtId="0" fontId="0" fillId="0" borderId="27" xfId="76" applyNumberFormat="1" applyFont="1" applyBorder="1">
      <alignment horizontal="left" vertical="center"/>
      <protection/>
    </xf>
    <xf numFmtId="0" fontId="18" fillId="0" borderId="5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47" xfId="76" applyNumberFormat="1" applyFont="1" applyBorder="1">
      <alignment horizontal="left" vertical="center"/>
      <protection/>
    </xf>
    <xf numFmtId="0" fontId="0" fillId="0" borderId="48" xfId="76" applyNumberFormat="1" applyFont="1" applyBorder="1">
      <alignment horizontal="left" vertical="center"/>
      <protection/>
    </xf>
    <xf numFmtId="172" fontId="18" fillId="0" borderId="56" xfId="76" applyNumberFormat="1" applyFont="1" applyBorder="1" applyAlignment="1">
      <alignment horizontal="center" vertical="center" wrapText="1" shrinkToFit="1"/>
      <protection/>
    </xf>
    <xf numFmtId="172" fontId="18" fillId="0" borderId="57" xfId="76" applyNumberFormat="1" applyFont="1" applyBorder="1" applyAlignment="1">
      <alignment horizontal="center" vertical="center" wrapText="1" shrinkToFit="1"/>
      <protection/>
    </xf>
    <xf numFmtId="172" fontId="18" fillId="0" borderId="19" xfId="76" applyNumberFormat="1" applyFont="1" applyBorder="1" applyAlignment="1">
      <alignment horizontal="center" vertical="center" wrapText="1" shrinkToFit="1"/>
      <protection/>
    </xf>
    <xf numFmtId="0" fontId="0" fillId="0" borderId="47" xfId="76" applyNumberFormat="1" applyFont="1" applyBorder="1" applyAlignment="1">
      <alignment horizontal="center" vertical="center"/>
      <protection/>
    </xf>
    <xf numFmtId="0" fontId="0" fillId="0" borderId="48" xfId="76" applyNumberFormat="1" applyFont="1" applyBorder="1" applyAlignment="1">
      <alignment horizontal="center" vertical="center"/>
      <protection/>
    </xf>
    <xf numFmtId="0" fontId="0" fillId="0" borderId="54" xfId="76" applyNumberFormat="1" applyFont="1" applyBorder="1" applyAlignment="1">
      <alignment horizontal="center" vertical="center"/>
      <protection/>
    </xf>
    <xf numFmtId="0" fontId="10" fillId="20" borderId="58" xfId="0" applyFont="1" applyFill="1" applyBorder="1" applyAlignment="1" applyProtection="1">
      <alignment horizontal="center" vertical="center"/>
      <protection locked="0"/>
    </xf>
    <xf numFmtId="0" fontId="10" fillId="20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20" borderId="58" xfId="0" applyFont="1" applyFill="1" applyBorder="1" applyAlignment="1">
      <alignment horizontal="center" vertical="center"/>
    </xf>
    <xf numFmtId="0" fontId="11" fillId="20" borderId="59" xfId="0" applyFont="1" applyFill="1" applyBorder="1" applyAlignment="1">
      <alignment horizontal="center" vertical="center"/>
    </xf>
    <xf numFmtId="0" fontId="11" fillId="20" borderId="60" xfId="0" applyFont="1" applyFill="1" applyBorder="1" applyAlignment="1">
      <alignment horizontal="center" vertical="center"/>
    </xf>
    <xf numFmtId="0" fontId="4" fillId="0" borderId="49" xfId="76" applyNumberFormat="1" applyBorder="1">
      <alignment horizontal="left" vertical="center"/>
      <protection/>
    </xf>
    <xf numFmtId="0" fontId="4" fillId="0" borderId="45" xfId="76" applyNumberFormat="1" applyBorder="1">
      <alignment horizontal="left" vertical="center"/>
      <protection/>
    </xf>
    <xf numFmtId="0" fontId="4" fillId="0" borderId="47" xfId="76" applyNumberFormat="1" applyFont="1" applyBorder="1">
      <alignment horizontal="left" vertical="center"/>
      <protection/>
    </xf>
    <xf numFmtId="0" fontId="4" fillId="0" borderId="47" xfId="76" applyNumberFormat="1" applyBorder="1" applyAlignment="1">
      <alignment horizontal="center" vertical="center"/>
      <protection/>
    </xf>
    <xf numFmtId="0" fontId="4" fillId="0" borderId="27" xfId="76" applyNumberFormat="1" applyBorder="1" applyAlignment="1">
      <alignment horizontal="center" vertical="center"/>
      <protection/>
    </xf>
    <xf numFmtId="14" fontId="8" fillId="0" borderId="31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36" xfId="0" applyFont="1" applyBorder="1" applyAlignment="1">
      <alignment/>
    </xf>
    <xf numFmtId="3" fontId="4" fillId="0" borderId="47" xfId="43" applyBorder="1" applyAlignment="1">
      <alignment horizontal="center" vertical="center"/>
      <protection/>
    </xf>
    <xf numFmtId="3" fontId="4" fillId="0" borderId="27" xfId="43" applyBorder="1" applyAlignment="1">
      <alignment horizontal="center" vertical="center"/>
      <protection/>
    </xf>
    <xf numFmtId="0" fontId="4" fillId="0" borderId="24" xfId="76" applyNumberFormat="1" applyBorder="1">
      <alignment horizontal="left" vertical="center"/>
      <protection/>
    </xf>
    <xf numFmtId="0" fontId="5" fillId="0" borderId="6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6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41" xfId="0" applyBorder="1" applyAlignment="1">
      <alignment/>
    </xf>
    <xf numFmtId="0" fontId="8" fillId="0" borderId="24" xfId="61" applyBorder="1">
      <alignment horizontal="left" vertical="center"/>
      <protection/>
    </xf>
    <xf numFmtId="0" fontId="8" fillId="0" borderId="24" xfId="61" applyFont="1" applyBorder="1">
      <alignment horizontal="left" vertical="center"/>
      <protection/>
    </xf>
    <xf numFmtId="0" fontId="11" fillId="20" borderId="73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0" fontId="11" fillId="20" borderId="66" xfId="0" applyFont="1" applyFill="1" applyBorder="1" applyAlignment="1">
      <alignment horizontal="center"/>
    </xf>
    <xf numFmtId="0" fontId="11" fillId="20" borderId="74" xfId="0" applyFont="1" applyFill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61" xfId="76" applyNumberFormat="1" applyBorder="1">
      <alignment horizontal="left" vertical="center"/>
      <protection/>
    </xf>
    <xf numFmtId="0" fontId="4" fillId="0" borderId="0" xfId="76" applyNumberFormat="1" applyBorder="1">
      <alignment horizontal="left" vertical="center"/>
      <protection/>
    </xf>
    <xf numFmtId="0" fontId="4" fillId="0" borderId="12" xfId="76" applyNumberFormat="1" applyBorder="1">
      <alignment horizontal="left" vertical="center"/>
      <protection/>
    </xf>
    <xf numFmtId="0" fontId="8" fillId="0" borderId="6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75" xfId="0" applyFont="1" applyBorder="1" applyAlignment="1">
      <alignment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4" fillId="0" borderId="56" xfId="76" applyNumberFormat="1" applyFont="1" applyBorder="1" applyAlignment="1">
      <alignment horizontal="center" vertical="center"/>
      <protection/>
    </xf>
    <xf numFmtId="0" fontId="4" fillId="0" borderId="57" xfId="76" applyNumberFormat="1" applyBorder="1" applyAlignment="1">
      <alignment horizontal="center" vertical="center"/>
      <protection/>
    </xf>
    <xf numFmtId="0" fontId="4" fillId="0" borderId="76" xfId="76" applyNumberFormat="1" applyBorder="1" applyAlignment="1">
      <alignment horizontal="center" vertical="center"/>
      <protection/>
    </xf>
    <xf numFmtId="0" fontId="4" fillId="0" borderId="48" xfId="76" applyNumberFormat="1" applyBorder="1" applyAlignment="1">
      <alignment horizontal="center" vertical="center"/>
      <protection/>
    </xf>
    <xf numFmtId="0" fontId="8" fillId="0" borderId="27" xfId="61" applyBorder="1" applyAlignment="1">
      <alignment horizontal="center" vertical="center"/>
      <protection/>
    </xf>
    <xf numFmtId="0" fontId="4" fillId="0" borderId="50" xfId="76" applyNumberFormat="1" applyBorder="1">
      <alignment horizontal="left" vertical="center"/>
      <protection/>
    </xf>
    <xf numFmtId="0" fontId="4" fillId="0" borderId="46" xfId="76" applyNumberFormat="1" applyBorder="1">
      <alignment horizontal="left" vertical="center"/>
      <protection/>
    </xf>
    <xf numFmtId="3" fontId="4" fillId="0" borderId="24" xfId="43" applyBorder="1">
      <alignment vertical="center"/>
      <protection/>
    </xf>
    <xf numFmtId="3" fontId="4" fillId="0" borderId="36" xfId="43" applyBorder="1">
      <alignment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right"/>
    </xf>
    <xf numFmtId="0" fontId="18" fillId="0" borderId="0" xfId="0" applyNumberFormat="1" applyFont="1" applyAlignment="1">
      <alignment vertical="center" wrapText="1"/>
    </xf>
    <xf numFmtId="0" fontId="56" fillId="0" borderId="0" xfId="81" applyFont="1" applyAlignment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6" fillId="0" borderId="0" xfId="58" applyFont="1" applyBorder="1" applyAlignment="1" applyProtection="1">
      <alignment horizontal="left" wrapText="1"/>
      <protection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Čárka 2" xfId="41"/>
    <cellStyle name="Comma [0]" xfId="42"/>
    <cellStyle name="Čísla v krycím listu" xfId="43"/>
    <cellStyle name="HmotnJednPolozky" xfId="44"/>
    <cellStyle name="HmotnPolozkyCel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Pevné texty v krycím listu" xfId="61"/>
    <cellStyle name="PoradCisloPolozky" xfId="62"/>
    <cellStyle name="PorizovaniSkutecnosti" xfId="63"/>
    <cellStyle name="Poznámka" xfId="64"/>
    <cellStyle name="Percent" xfId="65"/>
    <cellStyle name="ProcentoPrirazPol" xfId="66"/>
    <cellStyle name="Propojená buňka" xfId="67"/>
    <cellStyle name="RekapCisloOdd" xfId="68"/>
    <cellStyle name="RekapNazOdd" xfId="69"/>
    <cellStyle name="RekapOddiluSoucet" xfId="70"/>
    <cellStyle name="RekapTonaz" xfId="71"/>
    <cellStyle name="SoucetHmotOddilu" xfId="72"/>
    <cellStyle name="SoucetMontaziOddilu" xfId="73"/>
    <cellStyle name="Správně" xfId="74"/>
    <cellStyle name="Text upozornění" xfId="75"/>
    <cellStyle name="Text v krycím listu" xfId="76"/>
    <cellStyle name="TonazSute" xfId="77"/>
    <cellStyle name="Vstup" xfId="78"/>
    <cellStyle name="VykazPolozka" xfId="79"/>
    <cellStyle name="VykazPorCisPolozky" xfId="80"/>
    <cellStyle name="VykazVzorec" xfId="81"/>
    <cellStyle name="VypocetSkutecnosti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43"/>
  <sheetViews>
    <sheetView showGridLines="0" tabSelected="1" zoomScalePageLayoutView="0" workbookViewId="0" topLeftCell="A4">
      <selection activeCell="I44" sqref="I44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2.875" style="0" customWidth="1"/>
    <col min="8" max="8" width="3.00390625" style="0" customWidth="1"/>
    <col min="9" max="9" width="9.75390625" style="0" customWidth="1"/>
    <col min="10" max="10" width="4.125" style="0" customWidth="1"/>
    <col min="11" max="11" width="11.875" style="0" customWidth="1"/>
    <col min="13" max="13" width="18.125" style="0" customWidth="1"/>
  </cols>
  <sheetData>
    <row r="1" spans="1:11" ht="15.75" customHeight="1">
      <c r="A1" s="201" t="s">
        <v>579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5.7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5.7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15.75" customHeight="1" thickBo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53.25" customHeight="1">
      <c r="A5" s="46" t="s">
        <v>25</v>
      </c>
      <c r="B5" s="47"/>
      <c r="C5" s="195" t="s">
        <v>428</v>
      </c>
      <c r="D5" s="196"/>
      <c r="E5" s="196"/>
      <c r="F5" s="196"/>
      <c r="G5" s="196"/>
      <c r="H5" s="196"/>
      <c r="I5" s="196"/>
      <c r="J5" s="196"/>
      <c r="K5" s="197"/>
    </row>
    <row r="6" spans="1:11" ht="15.75" customHeight="1">
      <c r="A6" s="42" t="s">
        <v>26</v>
      </c>
      <c r="B6" s="43"/>
      <c r="C6" s="198"/>
      <c r="D6" s="199"/>
      <c r="E6" s="199"/>
      <c r="F6" s="199"/>
      <c r="G6" s="199"/>
      <c r="H6" s="199"/>
      <c r="I6" s="199"/>
      <c r="J6" s="199"/>
      <c r="K6" s="200"/>
    </row>
    <row r="7" spans="1:11" ht="15.75" customHeight="1">
      <c r="A7" s="190"/>
      <c r="B7" s="191"/>
      <c r="C7" s="191"/>
      <c r="D7" s="191"/>
      <c r="E7" s="191"/>
      <c r="F7" s="191"/>
      <c r="G7" s="192"/>
      <c r="H7" s="186" t="s">
        <v>40</v>
      </c>
      <c r="I7" s="278"/>
      <c r="J7" s="186" t="s">
        <v>41</v>
      </c>
      <c r="K7" s="187"/>
    </row>
    <row r="8" spans="1:11" ht="15.75" customHeight="1">
      <c r="A8" s="42" t="s">
        <v>27</v>
      </c>
      <c r="B8" s="43"/>
      <c r="C8" s="193" t="s">
        <v>429</v>
      </c>
      <c r="D8" s="194"/>
      <c r="E8" s="194"/>
      <c r="F8" s="194"/>
      <c r="G8" s="189"/>
      <c r="H8" s="193" t="s">
        <v>235</v>
      </c>
      <c r="I8" s="189"/>
      <c r="J8" s="184"/>
      <c r="K8" s="185"/>
    </row>
    <row r="9" spans="1:11" ht="15.75" customHeight="1">
      <c r="A9" s="42" t="s">
        <v>28</v>
      </c>
      <c r="B9" s="43"/>
      <c r="C9" s="193" t="s">
        <v>78</v>
      </c>
      <c r="D9" s="194"/>
      <c r="E9" s="194"/>
      <c r="F9" s="194"/>
      <c r="G9" s="189"/>
      <c r="H9" s="193" t="s">
        <v>236</v>
      </c>
      <c r="I9" s="189"/>
      <c r="J9" s="184" t="s">
        <v>77</v>
      </c>
      <c r="K9" s="185"/>
    </row>
    <row r="10" spans="1:11" ht="15.75" customHeight="1">
      <c r="A10" s="42" t="s">
        <v>29</v>
      </c>
      <c r="B10" s="43"/>
      <c r="C10" s="172"/>
      <c r="D10" s="173"/>
      <c r="E10" s="173"/>
      <c r="F10" s="173"/>
      <c r="G10" s="174"/>
      <c r="H10" s="188"/>
      <c r="I10" s="189"/>
      <c r="J10" s="184"/>
      <c r="K10" s="185"/>
    </row>
    <row r="11" spans="1:11" ht="15.75" customHeight="1">
      <c r="A11" s="42" t="s">
        <v>30</v>
      </c>
      <c r="B11" s="43"/>
      <c r="C11" s="172"/>
      <c r="D11" s="173"/>
      <c r="E11" s="173"/>
      <c r="F11" s="173"/>
      <c r="G11" s="174"/>
      <c r="H11" s="188"/>
      <c r="I11" s="189"/>
      <c r="J11" s="184"/>
      <c r="K11" s="185"/>
    </row>
    <row r="12" spans="1:11" ht="15.75" customHeight="1">
      <c r="A12" s="42" t="s">
        <v>31</v>
      </c>
      <c r="B12" s="43"/>
      <c r="C12" s="172"/>
      <c r="D12" s="173"/>
      <c r="E12" s="173"/>
      <c r="F12" s="173"/>
      <c r="G12" s="174"/>
      <c r="H12" s="188"/>
      <c r="I12" s="189"/>
      <c r="J12" s="184"/>
      <c r="K12" s="185"/>
    </row>
    <row r="13" spans="1:11" ht="15.75" customHeight="1">
      <c r="A13" s="42" t="s">
        <v>32</v>
      </c>
      <c r="B13" s="43"/>
      <c r="C13" s="172"/>
      <c r="D13" s="173"/>
      <c r="E13" s="173"/>
      <c r="F13" s="173"/>
      <c r="G13" s="174"/>
      <c r="H13" s="188"/>
      <c r="I13" s="189"/>
      <c r="J13" s="184"/>
      <c r="K13" s="185"/>
    </row>
    <row r="14" spans="1:11" ht="15.75" customHeight="1">
      <c r="A14" s="42" t="s">
        <v>33</v>
      </c>
      <c r="B14" s="43"/>
      <c r="C14" s="216"/>
      <c r="D14" s="173"/>
      <c r="E14" s="173"/>
      <c r="F14" s="173"/>
      <c r="G14" s="174"/>
      <c r="H14" s="188"/>
      <c r="I14" s="189"/>
      <c r="J14" s="184"/>
      <c r="K14" s="185"/>
    </row>
    <row r="15" spans="1:11" ht="15.75" customHeight="1">
      <c r="A15" s="42" t="s">
        <v>34</v>
      </c>
      <c r="B15" s="43"/>
      <c r="C15" s="217"/>
      <c r="D15" s="218"/>
      <c r="E15" s="30" t="s">
        <v>39</v>
      </c>
      <c r="F15" s="225"/>
      <c r="G15" s="226"/>
      <c r="H15" s="240" t="s">
        <v>69</v>
      </c>
      <c r="I15" s="240"/>
      <c r="J15" s="281"/>
      <c r="K15" s="282"/>
    </row>
    <row r="16" spans="1:11" ht="15.75" customHeight="1">
      <c r="A16" s="42" t="s">
        <v>35</v>
      </c>
      <c r="B16" s="43"/>
      <c r="C16" s="217" t="s">
        <v>471</v>
      </c>
      <c r="D16" s="218"/>
      <c r="E16" s="30" t="s">
        <v>38</v>
      </c>
      <c r="F16" s="227"/>
      <c r="G16" s="227"/>
      <c r="H16" s="241" t="s">
        <v>68</v>
      </c>
      <c r="I16" s="241"/>
      <c r="J16" s="283" t="s">
        <v>250</v>
      </c>
      <c r="K16" s="284"/>
    </row>
    <row r="17" spans="1:11" ht="15.75" customHeight="1" thickBot="1">
      <c r="A17" s="44" t="s">
        <v>36</v>
      </c>
      <c r="B17" s="45"/>
      <c r="C17" s="214"/>
      <c r="D17" s="215"/>
      <c r="E17" s="31" t="s">
        <v>37</v>
      </c>
      <c r="F17" s="214"/>
      <c r="G17" s="215"/>
      <c r="H17" s="214"/>
      <c r="I17" s="279"/>
      <c r="J17" s="279"/>
      <c r="K17" s="280"/>
    </row>
    <row r="18" spans="1:11" ht="21" customHeight="1" thickBot="1">
      <c r="A18" s="211" t="s">
        <v>42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3"/>
    </row>
    <row r="19" spans="1:11" ht="21.75" customHeight="1" thickBot="1">
      <c r="A19" s="230" t="s">
        <v>43</v>
      </c>
      <c r="B19" s="231"/>
      <c r="C19" s="231"/>
      <c r="D19" s="231"/>
      <c r="E19" s="232"/>
      <c r="F19" s="21"/>
      <c r="G19" s="233" t="s">
        <v>44</v>
      </c>
      <c r="H19" s="231"/>
      <c r="I19" s="231"/>
      <c r="J19" s="231"/>
      <c r="K19" s="234"/>
    </row>
    <row r="20" spans="1:11" ht="15.75" customHeight="1">
      <c r="A20" s="19">
        <v>1</v>
      </c>
      <c r="B20" s="228" t="s">
        <v>45</v>
      </c>
      <c r="C20" s="229"/>
      <c r="D20" s="48" t="s">
        <v>23</v>
      </c>
      <c r="E20" s="32"/>
      <c r="F20" s="20">
        <v>13</v>
      </c>
      <c r="G20" s="274" t="s">
        <v>93</v>
      </c>
      <c r="H20" s="275"/>
      <c r="I20" s="275"/>
      <c r="J20" s="276"/>
      <c r="K20" s="36">
        <v>0</v>
      </c>
    </row>
    <row r="21" spans="1:11" ht="15.75" customHeight="1">
      <c r="A21" s="16">
        <v>2</v>
      </c>
      <c r="B21" s="177"/>
      <c r="C21" s="178"/>
      <c r="D21" s="30" t="s">
        <v>24</v>
      </c>
      <c r="E21" s="33">
        <f>'Rekapitulace rozpočtu'!C29</f>
        <v>0</v>
      </c>
      <c r="F21" s="17">
        <v>14</v>
      </c>
      <c r="G21" s="217" t="s">
        <v>86</v>
      </c>
      <c r="H21" s="277"/>
      <c r="I21" s="277"/>
      <c r="J21" s="218"/>
      <c r="K21" s="37">
        <v>0</v>
      </c>
    </row>
    <row r="22" spans="1:11" ht="15.75" customHeight="1">
      <c r="A22" s="16">
        <v>3</v>
      </c>
      <c r="B22" s="175" t="s">
        <v>46</v>
      </c>
      <c r="C22" s="176"/>
      <c r="D22" s="30" t="s">
        <v>47</v>
      </c>
      <c r="E22" s="33">
        <f>'Rekapitulace rozpočtu'!C28</f>
        <v>0</v>
      </c>
      <c r="F22" s="17">
        <v>15</v>
      </c>
      <c r="G22" s="172"/>
      <c r="H22" s="173"/>
      <c r="I22" s="173"/>
      <c r="J22" s="174"/>
      <c r="K22" s="37"/>
    </row>
    <row r="23" spans="1:11" ht="15.75" customHeight="1" thickBot="1">
      <c r="A23" s="16">
        <v>4</v>
      </c>
      <c r="B23" s="177"/>
      <c r="C23" s="178"/>
      <c r="D23" s="30" t="s">
        <v>48</v>
      </c>
      <c r="E23" s="34">
        <f>'Rekapitulace rozpočtu'!C27</f>
        <v>0</v>
      </c>
      <c r="F23" s="18">
        <v>16</v>
      </c>
      <c r="G23" s="172"/>
      <c r="H23" s="173"/>
      <c r="I23" s="173"/>
      <c r="J23" s="174"/>
      <c r="K23" s="37"/>
    </row>
    <row r="24" spans="1:11" ht="15.75" customHeight="1" thickBot="1">
      <c r="A24" s="16">
        <v>5</v>
      </c>
      <c r="B24" s="181" t="s">
        <v>54</v>
      </c>
      <c r="C24" s="182"/>
      <c r="D24" s="183"/>
      <c r="E24" s="35">
        <f>SUM(E20:E23)</f>
        <v>0</v>
      </c>
      <c r="F24" s="22">
        <v>17</v>
      </c>
      <c r="G24" s="172"/>
      <c r="H24" s="173"/>
      <c r="I24" s="173"/>
      <c r="J24" s="174"/>
      <c r="K24" s="37"/>
    </row>
    <row r="25" spans="1:11" ht="15.75" customHeight="1">
      <c r="A25" s="16">
        <v>6</v>
      </c>
      <c r="B25" s="166" t="s">
        <v>55</v>
      </c>
      <c r="C25" s="167"/>
      <c r="D25" s="168"/>
      <c r="E25" s="32"/>
      <c r="F25" s="18">
        <v>18</v>
      </c>
      <c r="G25" s="172"/>
      <c r="H25" s="173"/>
      <c r="I25" s="173"/>
      <c r="J25" s="174"/>
      <c r="K25" s="37"/>
    </row>
    <row r="26" spans="1:11" ht="15.75" customHeight="1" thickBot="1">
      <c r="A26" s="16">
        <v>7</v>
      </c>
      <c r="B26" s="166" t="s">
        <v>56</v>
      </c>
      <c r="C26" s="167"/>
      <c r="D26" s="168"/>
      <c r="E26" s="34"/>
      <c r="F26" s="18">
        <v>19</v>
      </c>
      <c r="G26" s="172"/>
      <c r="H26" s="173"/>
      <c r="I26" s="173"/>
      <c r="J26" s="174"/>
      <c r="K26" s="37"/>
    </row>
    <row r="27" spans="1:11" ht="15.75" customHeight="1" thickBot="1">
      <c r="A27" s="16">
        <v>8</v>
      </c>
      <c r="B27" s="181" t="s">
        <v>57</v>
      </c>
      <c r="C27" s="182"/>
      <c r="D27" s="183"/>
      <c r="E27" s="35">
        <f>SUM(E24:E26)</f>
        <v>0</v>
      </c>
      <c r="F27" s="22">
        <v>20</v>
      </c>
      <c r="G27" s="172"/>
      <c r="H27" s="173"/>
      <c r="I27" s="173"/>
      <c r="J27" s="174"/>
      <c r="K27" s="37"/>
    </row>
    <row r="28" spans="1:11" ht="15.75" customHeight="1">
      <c r="A28" s="16">
        <v>9</v>
      </c>
      <c r="B28" s="166" t="s">
        <v>58</v>
      </c>
      <c r="C28" s="167"/>
      <c r="D28" s="168"/>
      <c r="E28" s="32"/>
      <c r="F28" s="18">
        <v>21</v>
      </c>
      <c r="G28" s="172"/>
      <c r="H28" s="173"/>
      <c r="I28" s="173"/>
      <c r="J28" s="174"/>
      <c r="K28" s="37"/>
    </row>
    <row r="29" spans="1:11" ht="15.75" customHeight="1">
      <c r="A29" s="16">
        <v>10</v>
      </c>
      <c r="B29" s="166" t="s">
        <v>59</v>
      </c>
      <c r="C29" s="167"/>
      <c r="D29" s="168"/>
      <c r="E29" s="33"/>
      <c r="F29" s="18">
        <v>22</v>
      </c>
      <c r="G29" s="172"/>
      <c r="H29" s="173"/>
      <c r="I29" s="173"/>
      <c r="J29" s="174"/>
      <c r="K29" s="37"/>
    </row>
    <row r="30" spans="1:11" ht="15.75" customHeight="1" thickBot="1">
      <c r="A30" s="16">
        <v>11</v>
      </c>
      <c r="B30" s="166" t="s">
        <v>60</v>
      </c>
      <c r="C30" s="167"/>
      <c r="D30" s="168"/>
      <c r="E30" s="34">
        <v>0</v>
      </c>
      <c r="F30" s="18">
        <v>23</v>
      </c>
      <c r="G30" s="172"/>
      <c r="H30" s="173"/>
      <c r="I30" s="173"/>
      <c r="J30" s="174"/>
      <c r="K30" s="37"/>
    </row>
    <row r="31" spans="1:11" ht="15.75" customHeight="1" thickBot="1">
      <c r="A31" s="25">
        <v>12</v>
      </c>
      <c r="B31" s="181" t="s">
        <v>61</v>
      </c>
      <c r="C31" s="182"/>
      <c r="D31" s="183"/>
      <c r="E31" s="41">
        <f>SUM(E27:E30)</f>
        <v>0</v>
      </c>
      <c r="F31" s="26">
        <v>24</v>
      </c>
      <c r="G31" s="227"/>
      <c r="H31" s="227"/>
      <c r="I31" s="227"/>
      <c r="J31" s="227"/>
      <c r="K31" s="38"/>
    </row>
    <row r="32" spans="1:11" ht="15.75" customHeight="1" thickBot="1">
      <c r="A32" s="27"/>
      <c r="B32" s="169"/>
      <c r="C32" s="170"/>
      <c r="D32" s="171"/>
      <c r="E32" s="29"/>
      <c r="F32" s="28">
        <v>25</v>
      </c>
      <c r="G32" s="179" t="s">
        <v>62</v>
      </c>
      <c r="H32" s="180"/>
      <c r="I32" s="180"/>
      <c r="J32" s="51"/>
      <c r="K32" s="39">
        <f>SUM(K20:K31)</f>
        <v>0</v>
      </c>
    </row>
    <row r="33" spans="1:11" ht="15.75" customHeight="1" thickBot="1">
      <c r="A33" s="235"/>
      <c r="B33" s="236"/>
      <c r="C33" s="236"/>
      <c r="D33" s="236"/>
      <c r="E33" s="236"/>
      <c r="F33" s="242" t="s">
        <v>49</v>
      </c>
      <c r="G33" s="243"/>
      <c r="H33" s="243"/>
      <c r="I33" s="243"/>
      <c r="J33" s="244"/>
      <c r="K33" s="245"/>
    </row>
    <row r="34" spans="1:13" ht="15.75" customHeight="1" thickBot="1">
      <c r="A34" s="235"/>
      <c r="B34" s="236"/>
      <c r="C34" s="236"/>
      <c r="D34" s="236"/>
      <c r="E34" s="236"/>
      <c r="F34" s="23">
        <v>26</v>
      </c>
      <c r="G34" s="285" t="s">
        <v>63</v>
      </c>
      <c r="H34" s="285"/>
      <c r="I34" s="285"/>
      <c r="J34" s="181"/>
      <c r="K34" s="41">
        <f>E31+K32</f>
        <v>0</v>
      </c>
      <c r="M34" s="107"/>
    </row>
    <row r="35" spans="1:11" ht="15.75" customHeight="1">
      <c r="A35" s="235"/>
      <c r="B35" s="236"/>
      <c r="C35" s="236"/>
      <c r="D35" s="236"/>
      <c r="E35" s="236"/>
      <c r="F35" s="23">
        <v>27</v>
      </c>
      <c r="G35" s="240"/>
      <c r="H35" s="240"/>
      <c r="I35" s="240"/>
      <c r="J35" s="240"/>
      <c r="K35" s="52"/>
    </row>
    <row r="36" spans="1:11" ht="15.75" customHeight="1" thickBot="1">
      <c r="A36" s="235"/>
      <c r="B36" s="236"/>
      <c r="C36" s="236"/>
      <c r="D36" s="236"/>
      <c r="E36" s="236"/>
      <c r="F36" s="23">
        <v>28</v>
      </c>
      <c r="G36" s="241" t="s">
        <v>148</v>
      </c>
      <c r="H36" s="240"/>
      <c r="I36" s="240"/>
      <c r="J36" s="240"/>
      <c r="K36" s="53">
        <f>K34*0.15</f>
        <v>0</v>
      </c>
    </row>
    <row r="37" spans="1:13" ht="15.75" customHeight="1" thickBot="1">
      <c r="A37" s="235"/>
      <c r="B37" s="236"/>
      <c r="C37" s="236"/>
      <c r="D37" s="236"/>
      <c r="E37" s="236"/>
      <c r="F37" s="24">
        <v>29</v>
      </c>
      <c r="G37" s="246" t="s">
        <v>64</v>
      </c>
      <c r="H37" s="246"/>
      <c r="I37" s="246"/>
      <c r="J37" s="247"/>
      <c r="K37" s="41">
        <f>SUM(K34:K36)</f>
        <v>0</v>
      </c>
      <c r="M37" s="56"/>
    </row>
    <row r="38" spans="1:11" ht="6.75" customHeight="1">
      <c r="A38" s="237"/>
      <c r="B38" s="238"/>
      <c r="C38" s="238"/>
      <c r="D38" s="238"/>
      <c r="E38" s="238"/>
      <c r="F38" s="238"/>
      <c r="G38" s="238"/>
      <c r="H38" s="238"/>
      <c r="I38" s="238"/>
      <c r="J38" s="238"/>
      <c r="K38" s="239"/>
    </row>
    <row r="39" spans="1:11" ht="15.75" customHeight="1">
      <c r="A39" s="49" t="s">
        <v>50</v>
      </c>
      <c r="B39" s="50"/>
      <c r="C39" s="40"/>
      <c r="D39" s="266"/>
      <c r="E39" s="267"/>
      <c r="F39" s="248" t="s">
        <v>65</v>
      </c>
      <c r="G39" s="249"/>
      <c r="H39" s="250"/>
      <c r="I39" s="222"/>
      <c r="J39" s="223"/>
      <c r="K39" s="224"/>
    </row>
    <row r="40" spans="1:11" ht="15.75" customHeight="1">
      <c r="A40" s="251"/>
      <c r="B40" s="252"/>
      <c r="C40" s="253"/>
      <c r="D40" s="268"/>
      <c r="E40" s="269"/>
      <c r="F40" s="248" t="s">
        <v>66</v>
      </c>
      <c r="G40" s="249"/>
      <c r="H40" s="250"/>
      <c r="I40" s="222"/>
      <c r="J40" s="223"/>
      <c r="K40" s="224"/>
    </row>
    <row r="41" spans="1:11" ht="15.75" customHeight="1">
      <c r="A41" s="254"/>
      <c r="B41" s="255"/>
      <c r="C41" s="256"/>
      <c r="D41" s="268"/>
      <c r="E41" s="269"/>
      <c r="F41" s="248" t="s">
        <v>67</v>
      </c>
      <c r="G41" s="249"/>
      <c r="H41" s="250"/>
      <c r="I41" s="271"/>
      <c r="J41" s="272"/>
      <c r="K41" s="273"/>
    </row>
    <row r="42" spans="1:11" ht="15.75" customHeight="1">
      <c r="A42" s="257"/>
      <c r="B42" s="258"/>
      <c r="C42" s="259"/>
      <c r="D42" s="268"/>
      <c r="E42" s="269"/>
      <c r="F42" s="248"/>
      <c r="G42" s="249"/>
      <c r="H42" s="250"/>
      <c r="I42" s="222"/>
      <c r="J42" s="223"/>
      <c r="K42" s="224"/>
    </row>
    <row r="43" spans="1:11" ht="15.75" customHeight="1" thickBot="1">
      <c r="A43" s="263" t="s">
        <v>51</v>
      </c>
      <c r="B43" s="264"/>
      <c r="C43" s="265"/>
      <c r="D43" s="270" t="s">
        <v>52</v>
      </c>
      <c r="E43" s="265"/>
      <c r="F43" s="260" t="s">
        <v>53</v>
      </c>
      <c r="G43" s="261"/>
      <c r="H43" s="262"/>
      <c r="I43" s="219">
        <v>43074</v>
      </c>
      <c r="J43" s="220"/>
      <c r="K43" s="221"/>
    </row>
  </sheetData>
  <sheetProtection/>
  <mergeCells count="87">
    <mergeCell ref="G30:J30"/>
    <mergeCell ref="G31:J31"/>
    <mergeCell ref="G34:J34"/>
    <mergeCell ref="J12:K12"/>
    <mergeCell ref="J13:K13"/>
    <mergeCell ref="J14:K14"/>
    <mergeCell ref="H13:I13"/>
    <mergeCell ref="H14:I14"/>
    <mergeCell ref="G25:J25"/>
    <mergeCell ref="J10:K10"/>
    <mergeCell ref="H9:I9"/>
    <mergeCell ref="H10:I10"/>
    <mergeCell ref="H7:I7"/>
    <mergeCell ref="G26:J26"/>
    <mergeCell ref="H17:K17"/>
    <mergeCell ref="H15:I15"/>
    <mergeCell ref="H16:I16"/>
    <mergeCell ref="J15:K15"/>
    <mergeCell ref="J16:K16"/>
    <mergeCell ref="I41:K41"/>
    <mergeCell ref="F40:H40"/>
    <mergeCell ref="G20:J20"/>
    <mergeCell ref="G21:J21"/>
    <mergeCell ref="G22:J22"/>
    <mergeCell ref="G23:J23"/>
    <mergeCell ref="G27:J27"/>
    <mergeCell ref="G28:J28"/>
    <mergeCell ref="G29:J29"/>
    <mergeCell ref="G24:J24"/>
    <mergeCell ref="B24:D24"/>
    <mergeCell ref="A40:C40"/>
    <mergeCell ref="A41:C42"/>
    <mergeCell ref="F43:H43"/>
    <mergeCell ref="F41:H41"/>
    <mergeCell ref="I40:K40"/>
    <mergeCell ref="F42:H42"/>
    <mergeCell ref="A43:C43"/>
    <mergeCell ref="D39:E42"/>
    <mergeCell ref="D43:E43"/>
    <mergeCell ref="A33:E37"/>
    <mergeCell ref="A38:K38"/>
    <mergeCell ref="I39:K39"/>
    <mergeCell ref="G35:J35"/>
    <mergeCell ref="G36:J36"/>
    <mergeCell ref="F33:K33"/>
    <mergeCell ref="G37:J37"/>
    <mergeCell ref="F39:H39"/>
    <mergeCell ref="I43:K43"/>
    <mergeCell ref="I42:K42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8:D28"/>
    <mergeCell ref="C5:K5"/>
    <mergeCell ref="C6:K6"/>
    <mergeCell ref="A1:K4"/>
    <mergeCell ref="A18:K18"/>
    <mergeCell ref="F17:G17"/>
    <mergeCell ref="C14:G14"/>
    <mergeCell ref="C16:D16"/>
    <mergeCell ref="C17:D17"/>
    <mergeCell ref="J11:K11"/>
    <mergeCell ref="J7:K7"/>
    <mergeCell ref="J8:K8"/>
    <mergeCell ref="H11:I11"/>
    <mergeCell ref="H12:I12"/>
    <mergeCell ref="A7:G7"/>
    <mergeCell ref="C8:G8"/>
    <mergeCell ref="C9:G9"/>
    <mergeCell ref="C10:G10"/>
    <mergeCell ref="J9:K9"/>
    <mergeCell ref="B29:D29"/>
    <mergeCell ref="B30:D30"/>
    <mergeCell ref="B32:D32"/>
    <mergeCell ref="C11:G11"/>
    <mergeCell ref="C12:G12"/>
    <mergeCell ref="C13:G13"/>
    <mergeCell ref="B22:C23"/>
    <mergeCell ref="G32:I32"/>
    <mergeCell ref="B27:D27"/>
    <mergeCell ref="B26:D26"/>
  </mergeCells>
  <printOptions/>
  <pageMargins left="0.78" right="0.49" top="0.84" bottom="0.7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E3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8.00390625" style="0" customWidth="1"/>
    <col min="2" max="2" width="42.00390625" style="0" customWidth="1"/>
    <col min="3" max="3" width="18.00390625" style="0" customWidth="1"/>
    <col min="4" max="4" width="12.375" style="0" hidden="1" customWidth="1"/>
    <col min="5" max="5" width="18.00390625" style="0" customWidth="1"/>
  </cols>
  <sheetData>
    <row r="1" spans="2:4" ht="15.75">
      <c r="B1" s="54" t="s">
        <v>580</v>
      </c>
      <c r="D1" s="7"/>
    </row>
    <row r="2" spans="1:4" ht="12.75">
      <c r="A2" s="2"/>
      <c r="B2" s="2"/>
      <c r="C2" s="2"/>
      <c r="D2" s="7"/>
    </row>
    <row r="3" spans="1:4" ht="12.75">
      <c r="A3" s="2" t="s">
        <v>16</v>
      </c>
      <c r="D3" s="7"/>
    </row>
    <row r="4" spans="1:4" ht="55.5" customHeight="1">
      <c r="A4" s="2"/>
      <c r="B4" s="286" t="s">
        <v>428</v>
      </c>
      <c r="C4" s="286"/>
      <c r="D4" s="7"/>
    </row>
    <row r="5" spans="1:4" ht="7.5" customHeight="1">
      <c r="A5" s="2"/>
      <c r="B5" s="114"/>
      <c r="C5" s="114"/>
      <c r="D5" s="7"/>
    </row>
    <row r="6" spans="1:4" ht="13.5" thickBot="1">
      <c r="A6" s="2"/>
      <c r="B6" s="2"/>
      <c r="C6" s="2"/>
      <c r="D6" s="7"/>
    </row>
    <row r="7" spans="1:4" ht="12.75">
      <c r="A7" s="8" t="s">
        <v>19</v>
      </c>
      <c r="B7" s="9" t="s">
        <v>20</v>
      </c>
      <c r="C7" s="10" t="s">
        <v>18</v>
      </c>
      <c r="D7" s="11" t="s">
        <v>13</v>
      </c>
    </row>
    <row r="8" spans="1:4" ht="13.5" thickBot="1">
      <c r="A8" s="12"/>
      <c r="B8" s="13"/>
      <c r="C8" s="14" t="s">
        <v>21</v>
      </c>
      <c r="D8" s="14"/>
    </row>
    <row r="9" spans="1:4" ht="12.75">
      <c r="A9" s="3"/>
      <c r="B9" s="4"/>
      <c r="C9" s="1"/>
      <c r="D9" s="5"/>
    </row>
    <row r="10" spans="1:5" s="57" customFormat="1" ht="19.5" customHeight="1">
      <c r="A10" s="58" t="str">
        <f>Rozpočet!B4</f>
        <v>1</v>
      </c>
      <c r="B10" s="59" t="str">
        <f>Rozpočet!C4</f>
        <v>Zemni prace</v>
      </c>
      <c r="C10" s="60">
        <f>Rozpočet!I12</f>
        <v>0</v>
      </c>
      <c r="D10" s="61">
        <f>Rozpočet!G12</f>
        <v>0</v>
      </c>
      <c r="E10" s="152"/>
    </row>
    <row r="11" spans="1:5" s="57" customFormat="1" ht="19.5" customHeight="1">
      <c r="A11" s="111" t="str">
        <f>Rozpočet!B14</f>
        <v>38</v>
      </c>
      <c r="B11" s="108" t="str">
        <f>Rozpočet!C14</f>
        <v>Různé kompletní konstrukce</v>
      </c>
      <c r="C11" s="60">
        <f>Rozpočet!I39</f>
        <v>0</v>
      </c>
      <c r="D11" s="61">
        <f>Rozpočet!G39</f>
        <v>0.9498</v>
      </c>
      <c r="E11" s="152"/>
    </row>
    <row r="12" spans="1:5" s="57" customFormat="1" ht="19.5" customHeight="1">
      <c r="A12" s="58" t="str">
        <f>Rozpočet!B41</f>
        <v>62</v>
      </c>
      <c r="B12" s="59" t="str">
        <f>Rozpočet!C41</f>
        <v>Uprava povrchu vnejsi</v>
      </c>
      <c r="C12" s="60">
        <f>Rozpočet!I357</f>
        <v>0</v>
      </c>
      <c r="D12" s="61">
        <f>Rozpočet!G357</f>
        <v>197.49137519725002</v>
      </c>
      <c r="E12" s="152"/>
    </row>
    <row r="13" spans="1:5" s="57" customFormat="1" ht="19.5" customHeight="1">
      <c r="A13" s="111" t="s">
        <v>135</v>
      </c>
      <c r="B13" s="108" t="s">
        <v>139</v>
      </c>
      <c r="C13" s="60">
        <f>Rozpočet!I380</f>
        <v>0</v>
      </c>
      <c r="D13" s="61">
        <v>0</v>
      </c>
      <c r="E13" s="152"/>
    </row>
    <row r="14" spans="1:5" s="57" customFormat="1" ht="19.5" customHeight="1">
      <c r="A14" s="111" t="s">
        <v>179</v>
      </c>
      <c r="B14" s="108" t="s">
        <v>190</v>
      </c>
      <c r="C14" s="60">
        <f>Rozpočet!I410</f>
        <v>0</v>
      </c>
      <c r="D14" s="61"/>
      <c r="E14" s="152"/>
    </row>
    <row r="15" spans="1:5" s="57" customFormat="1" ht="19.5" customHeight="1">
      <c r="A15" s="111" t="s">
        <v>163</v>
      </c>
      <c r="B15" s="108" t="s">
        <v>165</v>
      </c>
      <c r="C15" s="60">
        <f>Rozpočet!I441</f>
        <v>0</v>
      </c>
      <c r="D15" s="61">
        <v>0</v>
      </c>
      <c r="E15" s="152"/>
    </row>
    <row r="16" spans="1:5" s="57" customFormat="1" ht="19.5" customHeight="1">
      <c r="A16" s="111" t="s">
        <v>102</v>
      </c>
      <c r="B16" s="108" t="s">
        <v>109</v>
      </c>
      <c r="C16" s="60">
        <f>Rozpočet!I471</f>
        <v>0</v>
      </c>
      <c r="D16" s="61">
        <f>Rozpočet!G471</f>
        <v>2.334689068</v>
      </c>
      <c r="E16" s="152"/>
    </row>
    <row r="17" spans="1:5" s="57" customFormat="1" ht="19.5" customHeight="1">
      <c r="A17" s="111" t="s">
        <v>108</v>
      </c>
      <c r="B17" s="108" t="s">
        <v>203</v>
      </c>
      <c r="C17" s="60">
        <f>Rozpočet!I481</f>
        <v>0</v>
      </c>
      <c r="D17" s="61"/>
      <c r="E17" s="152"/>
    </row>
    <row r="18" spans="1:5" s="57" customFormat="1" ht="19.5" customHeight="1">
      <c r="A18" s="58" t="str">
        <f>Rozpočet!B483</f>
        <v>767</v>
      </c>
      <c r="B18" s="59" t="str">
        <f>Rozpočet!C483</f>
        <v>Konstrukce zámečnické</v>
      </c>
      <c r="C18" s="60">
        <f>Rozpočet!I492</f>
        <v>0</v>
      </c>
      <c r="D18" s="61">
        <v>0</v>
      </c>
      <c r="E18" s="152"/>
    </row>
    <row r="19" spans="1:5" s="57" customFormat="1" ht="19.5" customHeight="1">
      <c r="A19" s="58">
        <v>771</v>
      </c>
      <c r="B19" s="59" t="s">
        <v>129</v>
      </c>
      <c r="C19" s="60">
        <f>Rozpočet!I529</f>
        <v>0</v>
      </c>
      <c r="D19" s="61">
        <f>Rozpočet!G529</f>
        <v>5.493495599999999</v>
      </c>
      <c r="E19" s="152"/>
    </row>
    <row r="20" spans="1:5" s="57" customFormat="1" ht="19.5" customHeight="1">
      <c r="A20" s="58" t="str">
        <f>Rozpočet!B531</f>
        <v>94</v>
      </c>
      <c r="B20" s="59" t="str">
        <f>Rozpočet!C531</f>
        <v>Leseni a stavebni vytahy</v>
      </c>
      <c r="C20" s="60">
        <f>Rozpočet!I545</f>
        <v>0</v>
      </c>
      <c r="D20" s="61">
        <v>0</v>
      </c>
      <c r="E20" s="152"/>
    </row>
    <row r="21" spans="1:5" s="57" customFormat="1" ht="19.5" customHeight="1">
      <c r="A21" s="58">
        <v>95</v>
      </c>
      <c r="B21" s="59" t="s">
        <v>214</v>
      </c>
      <c r="C21" s="60">
        <f>Rozpočet!I557</f>
        <v>0</v>
      </c>
      <c r="D21" s="61">
        <f>Rozpočet!G557</f>
        <v>0.698656</v>
      </c>
      <c r="E21" s="152"/>
    </row>
    <row r="22" spans="1:5" s="57" customFormat="1" ht="19.5" customHeight="1">
      <c r="A22" s="58" t="str">
        <f>Rozpočet!B559</f>
        <v>96</v>
      </c>
      <c r="B22" s="59" t="str">
        <f>Rozpočet!C559</f>
        <v>Bourani konstrukci</v>
      </c>
      <c r="C22" s="60">
        <f>Rozpočet!I576</f>
        <v>0</v>
      </c>
      <c r="D22" s="61">
        <f>Rozpočet!G545</f>
        <v>65.98800944999999</v>
      </c>
      <c r="E22" s="152"/>
    </row>
    <row r="23" spans="1:5" s="57" customFormat="1" ht="19.5" customHeight="1">
      <c r="A23" s="58" t="str">
        <f>Rozpočet!B578</f>
        <v>99</v>
      </c>
      <c r="B23" s="59" t="str">
        <f>Rozpočet!C578</f>
        <v>Presun hmot</v>
      </c>
      <c r="C23" s="60">
        <f>Rozpočet!I581</f>
        <v>0</v>
      </c>
      <c r="D23" s="61">
        <f>Rozpočet!G576</f>
        <v>0</v>
      </c>
      <c r="E23" s="152"/>
    </row>
    <row r="24" spans="1:4" ht="8.25" customHeight="1" thickBot="1">
      <c r="A24" s="6"/>
      <c r="B24" s="15"/>
      <c r="C24" s="1"/>
      <c r="D24" s="61">
        <v>0</v>
      </c>
    </row>
    <row r="25" spans="1:4" s="67" customFormat="1" ht="21.75" customHeight="1" thickTop="1">
      <c r="A25" s="64"/>
      <c r="B25" s="65" t="s">
        <v>21</v>
      </c>
      <c r="C25" s="68">
        <f>SUM(C9:C24)</f>
        <v>0</v>
      </c>
      <c r="D25" s="66">
        <f>SUM(D9:D24)</f>
        <v>272.95602531525003</v>
      </c>
    </row>
    <row r="27" spans="2:4" s="62" customFormat="1" ht="16.5" customHeight="1">
      <c r="B27" s="62" t="s">
        <v>81</v>
      </c>
      <c r="C27" s="63">
        <f>SUM(C13:C19)</f>
        <v>0</v>
      </c>
      <c r="D27"/>
    </row>
    <row r="28" spans="2:3" s="62" customFormat="1" ht="16.5" customHeight="1">
      <c r="B28" s="62" t="s">
        <v>80</v>
      </c>
      <c r="C28" s="63">
        <f>SUM(C10:C12)+SUM(C20:C23)</f>
        <v>0</v>
      </c>
    </row>
    <row r="29" spans="2:4" ht="14.25">
      <c r="B29" t="s">
        <v>91</v>
      </c>
      <c r="C29" s="55">
        <v>0</v>
      </c>
      <c r="D29" s="62"/>
    </row>
    <row r="30" spans="2:3" ht="12.75">
      <c r="B30" t="s">
        <v>92</v>
      </c>
      <c r="C30" s="55">
        <v>0</v>
      </c>
    </row>
    <row r="32" ht="12.75">
      <c r="C32" s="55"/>
    </row>
  </sheetData>
  <sheetProtection/>
  <mergeCells count="1">
    <mergeCell ref="B4:C4"/>
  </mergeCells>
  <printOptions/>
  <pageMargins left="0.81" right="0.4" top="0.79" bottom="0.984251968503937" header="0.41" footer="0.5118110236220472"/>
  <pageSetup horizontalDpi="200" verticalDpi="200" orientation="portrait" paperSize="9" r:id="rId1"/>
  <headerFooter alignWithMargins="0">
    <oddFooter>&amp;R&amp;9Strana &amp;P z &amp;N stran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582"/>
  <sheetViews>
    <sheetView zoomScale="115" zoomScaleNormal="115" zoomScalePageLayoutView="0" workbookViewId="0" topLeftCell="A1">
      <selection activeCell="A1" sqref="A1:A2"/>
    </sheetView>
  </sheetViews>
  <sheetFormatPr defaultColWidth="9.00390625" defaultRowHeight="12.75" outlineLevelRow="1"/>
  <cols>
    <col min="1" max="1" width="5.75390625" style="103" customWidth="1"/>
    <col min="2" max="2" width="14.375" style="69" customWidth="1"/>
    <col min="3" max="3" width="54.75390625" style="79" customWidth="1"/>
    <col min="4" max="4" width="6.125" style="75" customWidth="1"/>
    <col min="5" max="5" width="10.125" style="69" customWidth="1"/>
    <col min="6" max="7" width="8.375" style="69" hidden="1" customWidth="1"/>
    <col min="8" max="8" width="10.125" style="69" hidden="1" customWidth="1"/>
    <col min="9" max="9" width="12.00390625" style="69" hidden="1" customWidth="1"/>
    <col min="10" max="10" width="6.75390625" style="75" hidden="1" customWidth="1"/>
    <col min="11" max="11" width="12.75390625" style="69" customWidth="1"/>
    <col min="12" max="16384" width="9.125" style="69" customWidth="1"/>
  </cols>
  <sheetData>
    <row r="1" spans="1:10" ht="11.25">
      <c r="A1" s="288"/>
      <c r="B1" s="290" t="s">
        <v>85</v>
      </c>
      <c r="C1" s="297" t="s">
        <v>15</v>
      </c>
      <c r="D1" s="297" t="s">
        <v>84</v>
      </c>
      <c r="E1" s="290" t="s">
        <v>22</v>
      </c>
      <c r="F1" s="299" t="s">
        <v>82</v>
      </c>
      <c r="G1" s="301" t="s">
        <v>83</v>
      </c>
      <c r="H1" s="293" t="s">
        <v>87</v>
      </c>
      <c r="I1" s="294"/>
      <c r="J1" s="295" t="s">
        <v>88</v>
      </c>
    </row>
    <row r="2" spans="1:10" ht="14.25" customHeight="1">
      <c r="A2" s="289"/>
      <c r="B2" s="291"/>
      <c r="C2" s="298"/>
      <c r="D2" s="298"/>
      <c r="E2" s="291"/>
      <c r="F2" s="300"/>
      <c r="G2" s="302"/>
      <c r="H2" s="122" t="s">
        <v>14</v>
      </c>
      <c r="I2" s="130" t="s">
        <v>17</v>
      </c>
      <c r="J2" s="296"/>
    </row>
    <row r="3" spans="1:9" ht="3" customHeight="1" thickBot="1">
      <c r="A3" s="153"/>
      <c r="B3" s="70"/>
      <c r="C3" s="71"/>
      <c r="D3" s="72"/>
      <c r="E3" s="72"/>
      <c r="F3" s="73"/>
      <c r="G3" s="73"/>
      <c r="H3" s="73"/>
      <c r="I3" s="74"/>
    </row>
    <row r="4" spans="2:4" ht="11.25">
      <c r="B4" s="76" t="s">
        <v>70</v>
      </c>
      <c r="C4" s="77" t="s">
        <v>71</v>
      </c>
      <c r="D4" s="78"/>
    </row>
    <row r="5" ht="6" customHeight="1"/>
    <row r="6" spans="1:10" ht="12.75" customHeight="1">
      <c r="A6" s="99" t="s">
        <v>70</v>
      </c>
      <c r="B6" s="89" t="s">
        <v>156</v>
      </c>
      <c r="C6" s="81" t="s">
        <v>159</v>
      </c>
      <c r="D6" s="82" t="s">
        <v>90</v>
      </c>
      <c r="E6" s="83">
        <f>SUM(E7:E8)</f>
        <v>39.85920000000001</v>
      </c>
      <c r="F6" s="84">
        <v>0</v>
      </c>
      <c r="G6" s="101">
        <f>E6*F6</f>
        <v>0</v>
      </c>
      <c r="H6" s="85"/>
      <c r="I6" s="86">
        <f>E6*H6</f>
        <v>0</v>
      </c>
      <c r="J6" s="148" t="s">
        <v>250</v>
      </c>
    </row>
    <row r="7" spans="1:10" ht="12.75" customHeight="1" outlineLevel="1">
      <c r="A7" s="99"/>
      <c r="B7" s="89"/>
      <c r="C7" s="112" t="s">
        <v>231</v>
      </c>
      <c r="D7" s="87"/>
      <c r="E7" s="88">
        <v>0</v>
      </c>
      <c r="F7" s="84"/>
      <c r="G7" s="101"/>
      <c r="H7" s="85"/>
      <c r="I7" s="98"/>
      <c r="J7" s="148"/>
    </row>
    <row r="8" spans="1:10" ht="24" customHeight="1" outlineLevel="1">
      <c r="A8" s="99"/>
      <c r="B8" s="89"/>
      <c r="C8" s="112" t="s">
        <v>249</v>
      </c>
      <c r="D8" s="87"/>
      <c r="E8" s="116">
        <f>(25.64+4.8+18.95+18.85+1.2+22.24+2.05+3.9+16.45+(1.2*2+0.2)*20)*0.6*0.4</f>
        <v>39.85920000000001</v>
      </c>
      <c r="F8" s="84"/>
      <c r="G8" s="101"/>
      <c r="H8" s="85"/>
      <c r="I8" s="98"/>
      <c r="J8" s="148"/>
    </row>
    <row r="9" spans="1:10" ht="12.75" customHeight="1">
      <c r="A9" s="99" t="s">
        <v>472</v>
      </c>
      <c r="B9" s="89" t="s">
        <v>157</v>
      </c>
      <c r="C9" s="81" t="s">
        <v>158</v>
      </c>
      <c r="D9" s="82" t="s">
        <v>90</v>
      </c>
      <c r="E9" s="83">
        <f>SUM(E10:E11)</f>
        <v>39.85920000000001</v>
      </c>
      <c r="F9" s="84">
        <v>0</v>
      </c>
      <c r="G9" s="101">
        <f>E9*F9</f>
        <v>0</v>
      </c>
      <c r="H9" s="85"/>
      <c r="I9" s="86">
        <f>E9*H9</f>
        <v>0</v>
      </c>
      <c r="J9" s="148" t="s">
        <v>250</v>
      </c>
    </row>
    <row r="10" spans="1:10" ht="12.75" customHeight="1" outlineLevel="1">
      <c r="A10" s="99"/>
      <c r="B10" s="89"/>
      <c r="C10" s="112" t="s">
        <v>160</v>
      </c>
      <c r="D10" s="87"/>
      <c r="E10" s="88">
        <v>0</v>
      </c>
      <c r="F10" s="84"/>
      <c r="G10" s="101"/>
      <c r="H10" s="85"/>
      <c r="I10" s="98"/>
      <c r="J10" s="148"/>
    </row>
    <row r="11" spans="1:10" ht="25.5" customHeight="1" outlineLevel="1">
      <c r="A11" s="99"/>
      <c r="B11" s="89"/>
      <c r="C11" s="112" t="s">
        <v>249</v>
      </c>
      <c r="D11" s="87"/>
      <c r="E11" s="116">
        <f>(25.64+4.8+18.95+18.85+1.2+22.24+2.05+3.9+16.45+(1.2*2+0.2)*20)*0.6*0.4</f>
        <v>39.85920000000001</v>
      </c>
      <c r="F11" s="84"/>
      <c r="G11" s="101"/>
      <c r="H11" s="85"/>
      <c r="I11" s="98"/>
      <c r="J11" s="148"/>
    </row>
    <row r="12" spans="3:10" ht="12.75" customHeight="1">
      <c r="C12" s="91" t="str">
        <f>CONCATENATE(B4," celkem")</f>
        <v>1 celkem</v>
      </c>
      <c r="G12" s="109">
        <f>SUBTOTAL(9,G6:G11)</f>
        <v>0</v>
      </c>
      <c r="I12" s="92">
        <f>SUBTOTAL(9,I6:I11)</f>
        <v>0</v>
      </c>
      <c r="J12" s="148"/>
    </row>
    <row r="13" spans="1:10" s="93" customFormat="1" ht="11.25">
      <c r="A13" s="103"/>
      <c r="C13" s="113"/>
      <c r="D13" s="103"/>
      <c r="G13" s="109"/>
      <c r="I13" s="110"/>
      <c r="J13" s="149"/>
    </row>
    <row r="14" spans="1:10" s="93" customFormat="1" ht="11.25">
      <c r="A14" s="103"/>
      <c r="B14" s="76" t="s">
        <v>151</v>
      </c>
      <c r="C14" s="77" t="s">
        <v>152</v>
      </c>
      <c r="D14" s="75"/>
      <c r="E14" s="69"/>
      <c r="F14" s="69"/>
      <c r="G14" s="69"/>
      <c r="H14" s="69"/>
      <c r="I14" s="69"/>
      <c r="J14" s="148"/>
    </row>
    <row r="15" spans="1:10" s="93" customFormat="1" ht="5.25" customHeight="1">
      <c r="A15" s="103"/>
      <c r="B15" s="69"/>
      <c r="C15" s="79"/>
      <c r="D15" s="75"/>
      <c r="E15" s="69"/>
      <c r="F15" s="69"/>
      <c r="G15" s="69"/>
      <c r="H15" s="69"/>
      <c r="I15" s="69"/>
      <c r="J15" s="148"/>
    </row>
    <row r="16" spans="1:11" ht="12" customHeight="1">
      <c r="A16" s="99" t="s">
        <v>473</v>
      </c>
      <c r="B16" s="80" t="s">
        <v>153</v>
      </c>
      <c r="C16" s="81" t="s">
        <v>154</v>
      </c>
      <c r="D16" s="82" t="s">
        <v>74</v>
      </c>
      <c r="E16" s="83">
        <f>SUM(E18:E19)</f>
        <v>24</v>
      </c>
      <c r="F16" s="84">
        <v>0.00945</v>
      </c>
      <c r="G16" s="101">
        <f>E16*F16</f>
        <v>0.2268</v>
      </c>
      <c r="H16" s="85"/>
      <c r="I16" s="86">
        <f>E16*H16</f>
        <v>0</v>
      </c>
      <c r="J16" s="148" t="s">
        <v>250</v>
      </c>
      <c r="K16" s="121"/>
    </row>
    <row r="17" spans="1:10" s="93" customFormat="1" ht="35.25" customHeight="1" outlineLevel="1">
      <c r="A17" s="99"/>
      <c r="B17" s="96"/>
      <c r="C17" s="292" t="s">
        <v>251</v>
      </c>
      <c r="D17" s="292"/>
      <c r="E17" s="292"/>
      <c r="F17" s="100"/>
      <c r="G17" s="101"/>
      <c r="H17" s="102"/>
      <c r="I17" s="98"/>
      <c r="J17" s="149"/>
    </row>
    <row r="18" spans="1:10" s="93" customFormat="1" ht="12" customHeight="1" outlineLevel="1">
      <c r="A18" s="99"/>
      <c r="B18" s="96"/>
      <c r="C18" s="112" t="s">
        <v>161</v>
      </c>
      <c r="D18" s="87"/>
      <c r="E18" s="88">
        <v>0</v>
      </c>
      <c r="F18" s="100"/>
      <c r="G18" s="101"/>
      <c r="H18" s="102"/>
      <c r="I18" s="98"/>
      <c r="J18" s="149"/>
    </row>
    <row r="19" spans="1:10" s="93" customFormat="1" ht="12" customHeight="1" outlineLevel="1">
      <c r="A19" s="99"/>
      <c r="B19" s="96"/>
      <c r="C19" s="146" t="s">
        <v>252</v>
      </c>
      <c r="D19" s="87"/>
      <c r="E19" s="139">
        <f>30*0.8</f>
        <v>24</v>
      </c>
      <c r="F19" s="100"/>
      <c r="G19" s="101"/>
      <c r="H19" s="102"/>
      <c r="I19" s="98"/>
      <c r="J19" s="149"/>
    </row>
    <row r="20" spans="1:10" s="93" customFormat="1" ht="12" customHeight="1" outlineLevel="1">
      <c r="A20" s="99"/>
      <c r="B20" s="96"/>
      <c r="C20" s="146"/>
      <c r="D20" s="87"/>
      <c r="E20" s="139"/>
      <c r="F20" s="100"/>
      <c r="G20" s="101"/>
      <c r="H20" s="102"/>
      <c r="I20" s="98"/>
      <c r="J20" s="149"/>
    </row>
    <row r="21" spans="1:10" s="93" customFormat="1" ht="12" customHeight="1" outlineLevel="1">
      <c r="A21" s="99"/>
      <c r="B21" s="96"/>
      <c r="C21" s="146"/>
      <c r="D21" s="87"/>
      <c r="E21" s="139"/>
      <c r="F21" s="100"/>
      <c r="G21" s="101"/>
      <c r="H21" s="102"/>
      <c r="I21" s="98"/>
      <c r="J21" s="149"/>
    </row>
    <row r="22" spans="1:11" ht="12" customHeight="1">
      <c r="A22" s="99" t="s">
        <v>474</v>
      </c>
      <c r="B22" s="80" t="s">
        <v>560</v>
      </c>
      <c r="C22" s="81" t="s">
        <v>561</v>
      </c>
      <c r="D22" s="82" t="s">
        <v>171</v>
      </c>
      <c r="E22" s="83">
        <f>SUM(E23:E35)</f>
        <v>723</v>
      </c>
      <c r="F22" s="84">
        <v>0.0005</v>
      </c>
      <c r="G22" s="101">
        <f>E22*F22</f>
        <v>0.3615</v>
      </c>
      <c r="H22" s="85"/>
      <c r="I22" s="86">
        <f>E22*H22</f>
        <v>0</v>
      </c>
      <c r="J22" s="148" t="s">
        <v>89</v>
      </c>
      <c r="K22" s="121"/>
    </row>
    <row r="23" spans="1:10" s="93" customFormat="1" ht="12" customHeight="1" outlineLevel="1">
      <c r="A23" s="99"/>
      <c r="B23" s="96"/>
      <c r="C23" s="161" t="s">
        <v>562</v>
      </c>
      <c r="D23" s="161"/>
      <c r="E23" s="161">
        <v>0</v>
      </c>
      <c r="F23" s="100"/>
      <c r="G23" s="101"/>
      <c r="H23" s="102"/>
      <c r="I23" s="98"/>
      <c r="J23" s="149"/>
    </row>
    <row r="24" spans="1:10" s="93" customFormat="1" ht="12" customHeight="1" outlineLevel="1">
      <c r="A24" s="99"/>
      <c r="B24" s="96"/>
      <c r="C24" s="146" t="s">
        <v>563</v>
      </c>
      <c r="D24" s="87"/>
      <c r="E24" s="139">
        <v>0</v>
      </c>
      <c r="F24" s="100"/>
      <c r="G24" s="101"/>
      <c r="H24" s="102"/>
      <c r="I24" s="98"/>
      <c r="J24" s="149"/>
    </row>
    <row r="25" spans="1:10" s="93" customFormat="1" ht="12" customHeight="1" outlineLevel="1">
      <c r="A25" s="99"/>
      <c r="B25" s="96"/>
      <c r="C25" s="146" t="s">
        <v>564</v>
      </c>
      <c r="D25" s="87"/>
      <c r="E25" s="139">
        <f>7*4*5</f>
        <v>140</v>
      </c>
      <c r="F25" s="100"/>
      <c r="G25" s="101"/>
      <c r="H25" s="102"/>
      <c r="I25" s="98"/>
      <c r="J25" s="149"/>
    </row>
    <row r="26" spans="1:10" s="93" customFormat="1" ht="12" customHeight="1" outlineLevel="1">
      <c r="A26" s="99"/>
      <c r="B26" s="96"/>
      <c r="C26" s="146" t="s">
        <v>565</v>
      </c>
      <c r="D26" s="87"/>
      <c r="E26" s="139">
        <f>7*3</f>
        <v>21</v>
      </c>
      <c r="F26" s="100"/>
      <c r="G26" s="101"/>
      <c r="H26" s="102"/>
      <c r="I26" s="98"/>
      <c r="J26" s="149"/>
    </row>
    <row r="27" spans="1:10" s="93" customFormat="1" ht="12" customHeight="1" outlineLevel="1">
      <c r="A27" s="99"/>
      <c r="B27" s="96"/>
      <c r="C27" s="146" t="s">
        <v>566</v>
      </c>
      <c r="D27" s="87"/>
      <c r="E27" s="139">
        <v>0</v>
      </c>
      <c r="F27" s="100"/>
      <c r="G27" s="101"/>
      <c r="H27" s="102"/>
      <c r="I27" s="98"/>
      <c r="J27" s="149"/>
    </row>
    <row r="28" spans="1:10" s="93" customFormat="1" ht="12" customHeight="1" outlineLevel="1">
      <c r="A28" s="99"/>
      <c r="B28" s="96"/>
      <c r="C28" s="146" t="s">
        <v>567</v>
      </c>
      <c r="D28" s="87"/>
      <c r="E28" s="139">
        <f>6*5</f>
        <v>30</v>
      </c>
      <c r="F28" s="100"/>
      <c r="G28" s="101"/>
      <c r="H28" s="102"/>
      <c r="I28" s="98"/>
      <c r="J28" s="149"/>
    </row>
    <row r="29" spans="1:10" s="93" customFormat="1" ht="12" customHeight="1" outlineLevel="1">
      <c r="A29" s="99"/>
      <c r="B29" s="96"/>
      <c r="C29" s="146" t="s">
        <v>568</v>
      </c>
      <c r="D29" s="87"/>
      <c r="E29" s="139">
        <f>7*6*6</f>
        <v>252</v>
      </c>
      <c r="F29" s="100"/>
      <c r="G29" s="101"/>
      <c r="H29" s="102"/>
      <c r="I29" s="98"/>
      <c r="J29" s="149"/>
    </row>
    <row r="30" spans="1:10" s="93" customFormat="1" ht="12" customHeight="1" outlineLevel="1">
      <c r="A30" s="99"/>
      <c r="B30" s="96"/>
      <c r="C30" s="146" t="s">
        <v>569</v>
      </c>
      <c r="D30" s="87"/>
      <c r="E30" s="139">
        <v>0</v>
      </c>
      <c r="F30" s="100"/>
      <c r="G30" s="101"/>
      <c r="H30" s="102"/>
      <c r="I30" s="98"/>
      <c r="J30" s="149"/>
    </row>
    <row r="31" spans="1:10" s="93" customFormat="1" ht="12" customHeight="1" outlineLevel="1">
      <c r="A31" s="99"/>
      <c r="B31" s="96"/>
      <c r="C31" s="146" t="s">
        <v>570</v>
      </c>
      <c r="D31" s="87"/>
      <c r="E31" s="139">
        <f>7*2*5</f>
        <v>70</v>
      </c>
      <c r="F31" s="100"/>
      <c r="G31" s="101"/>
      <c r="H31" s="102"/>
      <c r="I31" s="98"/>
      <c r="J31" s="149"/>
    </row>
    <row r="32" spans="1:10" s="93" customFormat="1" ht="12" customHeight="1" outlineLevel="1">
      <c r="A32" s="99"/>
      <c r="B32" s="96"/>
      <c r="C32" s="146" t="s">
        <v>566</v>
      </c>
      <c r="D32" s="87"/>
      <c r="E32" s="139">
        <v>0</v>
      </c>
      <c r="F32" s="100"/>
      <c r="G32" s="101"/>
      <c r="H32" s="102"/>
      <c r="I32" s="98"/>
      <c r="J32" s="149"/>
    </row>
    <row r="33" spans="1:10" s="93" customFormat="1" ht="12" customHeight="1" outlineLevel="1">
      <c r="A33" s="99"/>
      <c r="B33" s="96"/>
      <c r="C33" s="146" t="s">
        <v>571</v>
      </c>
      <c r="D33" s="87"/>
      <c r="E33" s="139">
        <f>7*5</f>
        <v>35</v>
      </c>
      <c r="F33" s="100"/>
      <c r="G33" s="101"/>
      <c r="H33" s="102"/>
      <c r="I33" s="98"/>
      <c r="J33" s="149"/>
    </row>
    <row r="34" spans="1:10" s="93" customFormat="1" ht="12" customHeight="1" outlineLevel="1">
      <c r="A34" s="99"/>
      <c r="B34" s="96"/>
      <c r="C34" s="146" t="s">
        <v>572</v>
      </c>
      <c r="D34" s="87"/>
      <c r="E34" s="139">
        <f>5*5</f>
        <v>25</v>
      </c>
      <c r="F34" s="100"/>
      <c r="G34" s="101"/>
      <c r="H34" s="102"/>
      <c r="I34" s="98"/>
      <c r="J34" s="149"/>
    </row>
    <row r="35" spans="1:10" s="93" customFormat="1" ht="12" customHeight="1" outlineLevel="1">
      <c r="A35" s="99"/>
      <c r="B35" s="96"/>
      <c r="C35" s="146" t="s">
        <v>573</v>
      </c>
      <c r="D35" s="87"/>
      <c r="E35" s="139">
        <f>6*5*5</f>
        <v>150</v>
      </c>
      <c r="F35" s="100"/>
      <c r="G35" s="101"/>
      <c r="H35" s="102"/>
      <c r="I35" s="98"/>
      <c r="J35" s="149"/>
    </row>
    <row r="36" spans="1:11" ht="12" customHeight="1">
      <c r="A36" s="99" t="s">
        <v>475</v>
      </c>
      <c r="B36" s="80" t="s">
        <v>559</v>
      </c>
      <c r="C36" s="81" t="s">
        <v>578</v>
      </c>
      <c r="D36" s="82" t="s">
        <v>171</v>
      </c>
      <c r="E36" s="83">
        <f>SUM(E38:E38)</f>
        <v>723</v>
      </c>
      <c r="F36" s="84">
        <v>0.0005</v>
      </c>
      <c r="G36" s="101">
        <f>E36*F36</f>
        <v>0.3615</v>
      </c>
      <c r="H36" s="85"/>
      <c r="I36" s="86">
        <f>E36*H36</f>
        <v>0</v>
      </c>
      <c r="J36" s="148" t="s">
        <v>250</v>
      </c>
      <c r="K36" s="121"/>
    </row>
    <row r="37" spans="1:10" s="93" customFormat="1" ht="25.5" customHeight="1" outlineLevel="1">
      <c r="A37" s="99"/>
      <c r="B37" s="96"/>
      <c r="C37" s="161" t="s">
        <v>577</v>
      </c>
      <c r="D37" s="161"/>
      <c r="E37" s="161"/>
      <c r="F37" s="100"/>
      <c r="G37" s="101"/>
      <c r="H37" s="102"/>
      <c r="I37" s="98"/>
      <c r="J37" s="149"/>
    </row>
    <row r="38" spans="1:10" s="93" customFormat="1" ht="12" customHeight="1" outlineLevel="1">
      <c r="A38" s="99"/>
      <c r="B38" s="96"/>
      <c r="C38" s="146" t="s">
        <v>574</v>
      </c>
      <c r="D38" s="87"/>
      <c r="E38" s="139">
        <v>723</v>
      </c>
      <c r="F38" s="100"/>
      <c r="G38" s="101"/>
      <c r="H38" s="102"/>
      <c r="I38" s="98"/>
      <c r="J38" s="149"/>
    </row>
    <row r="39" spans="1:10" s="93" customFormat="1" ht="12" customHeight="1">
      <c r="A39" s="103"/>
      <c r="B39" s="69"/>
      <c r="C39" s="91" t="str">
        <f>CONCATENATE(B14," celkem")</f>
        <v>38 celkem</v>
      </c>
      <c r="D39" s="75"/>
      <c r="E39" s="69"/>
      <c r="F39" s="69"/>
      <c r="G39" s="109">
        <f>SUBTOTAL(9,G16:G38)</f>
        <v>0.9498</v>
      </c>
      <c r="H39" s="69"/>
      <c r="I39" s="92">
        <f>SUBTOTAL(9,I16:I38)</f>
        <v>0</v>
      </c>
      <c r="J39" s="148"/>
    </row>
    <row r="40" spans="1:10" s="93" customFormat="1" ht="11.25">
      <c r="A40" s="103"/>
      <c r="B40" s="69"/>
      <c r="C40" s="91"/>
      <c r="D40" s="75"/>
      <c r="E40" s="69"/>
      <c r="F40" s="69"/>
      <c r="G40" s="109"/>
      <c r="I40" s="110"/>
      <c r="J40" s="148"/>
    </row>
    <row r="41" spans="2:10" ht="12.75" customHeight="1">
      <c r="B41" s="76" t="s">
        <v>75</v>
      </c>
      <c r="C41" s="77" t="s">
        <v>76</v>
      </c>
      <c r="J41" s="148"/>
    </row>
    <row r="42" ht="5.25" customHeight="1">
      <c r="J42" s="148"/>
    </row>
    <row r="43" spans="1:10" ht="12" customHeight="1">
      <c r="A43" s="163" t="s">
        <v>476</v>
      </c>
      <c r="B43" s="80" t="s">
        <v>253</v>
      </c>
      <c r="C43" s="81" t="s">
        <v>96</v>
      </c>
      <c r="D43" s="82" t="s">
        <v>72</v>
      </c>
      <c r="E43" s="83">
        <f>SUM(E44:E79)</f>
        <v>4510.553350000001</v>
      </c>
      <c r="F43" s="84">
        <v>0.00035</v>
      </c>
      <c r="G43" s="101">
        <f>E43*F43</f>
        <v>1.5786936725000003</v>
      </c>
      <c r="H43" s="85"/>
      <c r="I43" s="86">
        <f>E43*H43</f>
        <v>0</v>
      </c>
      <c r="J43" s="148" t="s">
        <v>250</v>
      </c>
    </row>
    <row r="44" spans="1:10" s="93" customFormat="1" ht="12" customHeight="1" outlineLevel="1">
      <c r="A44" s="99"/>
      <c r="B44" s="80"/>
      <c r="C44" s="112" t="s">
        <v>263</v>
      </c>
      <c r="D44" s="95"/>
      <c r="E44" s="88">
        <v>0</v>
      </c>
      <c r="F44" s="84"/>
      <c r="G44" s="101"/>
      <c r="H44" s="85"/>
      <c r="I44" s="98"/>
      <c r="J44" s="148"/>
    </row>
    <row r="45" spans="1:10" s="93" customFormat="1" ht="12" customHeight="1" outlineLevel="1">
      <c r="A45" s="99"/>
      <c r="B45" s="137" t="s">
        <v>176</v>
      </c>
      <c r="C45" s="112" t="s">
        <v>174</v>
      </c>
      <c r="D45" s="95"/>
      <c r="E45" s="88">
        <v>0</v>
      </c>
      <c r="F45" s="84"/>
      <c r="G45" s="101"/>
      <c r="H45" s="85"/>
      <c r="I45" s="98"/>
      <c r="J45" s="148"/>
    </row>
    <row r="46" spans="1:10" s="93" customFormat="1" ht="12.75" customHeight="1" outlineLevel="1">
      <c r="A46" s="99"/>
      <c r="B46" s="80"/>
      <c r="C46" s="112" t="s">
        <v>262</v>
      </c>
      <c r="D46" s="95"/>
      <c r="E46" s="88">
        <f>(0.44+0.3+3.46+2.35+22.24+1.2+18.84+(1.2*2+1.2)*9)*21.92+3*2*1.2</f>
        <v>1787.7616</v>
      </c>
      <c r="F46" s="84"/>
      <c r="G46" s="101"/>
      <c r="H46" s="85"/>
      <c r="I46" s="98"/>
      <c r="J46" s="148"/>
    </row>
    <row r="47" spans="1:10" s="93" customFormat="1" ht="12" customHeight="1" outlineLevel="1">
      <c r="A47" s="99"/>
      <c r="B47" s="80"/>
      <c r="C47" s="112" t="s">
        <v>98</v>
      </c>
      <c r="D47" s="95"/>
      <c r="E47" s="88">
        <v>0</v>
      </c>
      <c r="F47" s="84"/>
      <c r="G47" s="101"/>
      <c r="H47" s="85"/>
      <c r="I47" s="98"/>
      <c r="J47" s="148"/>
    </row>
    <row r="48" spans="1:10" s="93" customFormat="1" ht="24" customHeight="1" outlineLevel="1">
      <c r="A48" s="99"/>
      <c r="B48" s="80"/>
      <c r="C48" s="112" t="s">
        <v>254</v>
      </c>
      <c r="D48" s="95"/>
      <c r="E48" s="88">
        <f>((1+2*0.65)*6+(0.9+1.6*2)*8+(2.1+1.6*2)*25+(1.2+1.6*2)*49+(0.9+2.35*2)*49+(2.35+1.5*2)*7)*0.15</f>
        <v>105.98250000000003</v>
      </c>
      <c r="F48" s="84"/>
      <c r="G48" s="101"/>
      <c r="H48" s="85"/>
      <c r="I48" s="98"/>
      <c r="J48" s="148"/>
    </row>
    <row r="49" spans="1:10" s="93" customFormat="1" ht="12" customHeight="1" outlineLevel="1">
      <c r="A49" s="99"/>
      <c r="B49" s="80"/>
      <c r="C49" s="112" t="s">
        <v>175</v>
      </c>
      <c r="D49" s="95"/>
      <c r="E49" s="88">
        <v>0</v>
      </c>
      <c r="F49" s="84"/>
      <c r="G49" s="101"/>
      <c r="H49" s="85"/>
      <c r="I49" s="98"/>
      <c r="J49" s="148"/>
    </row>
    <row r="50" spans="1:10" s="93" customFormat="1" ht="24" customHeight="1" outlineLevel="1">
      <c r="A50" s="99"/>
      <c r="B50" s="80"/>
      <c r="C50" s="112" t="s">
        <v>603</v>
      </c>
      <c r="D50" s="95"/>
      <c r="E50" s="88">
        <f>(1*0.65*6+0.9*1.6*8+2.1*1.6*28+1.2*1.6*49+0.9*2.35*49+2.35*1.25*7)*-1</f>
        <v>-327.77750000000003</v>
      </c>
      <c r="F50" s="84"/>
      <c r="G50" s="101"/>
      <c r="H50" s="85"/>
      <c r="I50" s="98"/>
      <c r="J50" s="148"/>
    </row>
    <row r="51" spans="1:10" s="93" customFormat="1" ht="12" customHeight="1" outlineLevel="1">
      <c r="A51" s="99"/>
      <c r="B51" s="137" t="s">
        <v>256</v>
      </c>
      <c r="C51" s="112" t="s">
        <v>257</v>
      </c>
      <c r="D51" s="95"/>
      <c r="E51" s="88">
        <f>(1*2+0.2)*2.62*60+(1*2+0.2)*1.65*9</f>
        <v>378.5100000000001</v>
      </c>
      <c r="F51" s="84"/>
      <c r="G51" s="101"/>
      <c r="H51" s="85"/>
      <c r="I51" s="98"/>
      <c r="J51" s="148"/>
    </row>
    <row r="52" spans="1:10" s="93" customFormat="1" ht="12" customHeight="1" outlineLevel="1">
      <c r="A52" s="99"/>
      <c r="B52" s="137" t="s">
        <v>258</v>
      </c>
      <c r="C52" s="112" t="s">
        <v>259</v>
      </c>
      <c r="D52" s="95"/>
      <c r="E52" s="88">
        <f>3.6*1.2*54</f>
        <v>233.28000000000003</v>
      </c>
      <c r="F52" s="84"/>
      <c r="G52" s="101"/>
      <c r="H52" s="85"/>
      <c r="I52" s="98"/>
      <c r="J52" s="148"/>
    </row>
    <row r="53" spans="1:10" s="93" customFormat="1" ht="12" customHeight="1" outlineLevel="1">
      <c r="A53" s="99"/>
      <c r="B53" s="137" t="s">
        <v>260</v>
      </c>
      <c r="C53" s="112" t="s">
        <v>261</v>
      </c>
      <c r="D53" s="95"/>
      <c r="E53" s="88">
        <f>(18.03+0.3*2)*8*0.15+(7.2+0.3*2)*6*0.15</f>
        <v>29.376</v>
      </c>
      <c r="F53" s="84"/>
      <c r="G53" s="101"/>
      <c r="H53" s="85"/>
      <c r="I53" s="98"/>
      <c r="J53" s="148"/>
    </row>
    <row r="54" spans="1:10" s="93" customFormat="1" ht="12" customHeight="1" outlineLevel="1">
      <c r="A54" s="99"/>
      <c r="B54" s="80"/>
      <c r="C54" s="112" t="s">
        <v>264</v>
      </c>
      <c r="D54" s="95"/>
      <c r="E54" s="88">
        <v>0</v>
      </c>
      <c r="F54" s="84"/>
      <c r="G54" s="101"/>
      <c r="H54" s="85"/>
      <c r="I54" s="98"/>
      <c r="J54" s="148"/>
    </row>
    <row r="55" spans="1:10" s="93" customFormat="1" ht="12" customHeight="1" outlineLevel="1">
      <c r="A55" s="99"/>
      <c r="B55" s="137" t="s">
        <v>176</v>
      </c>
      <c r="C55" s="112" t="s">
        <v>174</v>
      </c>
      <c r="D55" s="95"/>
      <c r="E55" s="88">
        <v>0</v>
      </c>
      <c r="F55" s="84"/>
      <c r="G55" s="101"/>
      <c r="H55" s="85"/>
      <c r="I55" s="98"/>
      <c r="J55" s="148"/>
    </row>
    <row r="56" spans="1:10" s="93" customFormat="1" ht="12" customHeight="1" outlineLevel="1">
      <c r="A56" s="99"/>
      <c r="B56" s="80"/>
      <c r="C56" s="112" t="s">
        <v>265</v>
      </c>
      <c r="D56" s="95"/>
      <c r="E56" s="88">
        <f>(25.64+4.8+18.94+2.35+0.3)*22.05+3*2*1.2</f>
        <v>1154.4615000000001</v>
      </c>
      <c r="F56" s="84"/>
      <c r="G56" s="101"/>
      <c r="H56" s="85"/>
      <c r="I56" s="98"/>
      <c r="J56" s="148"/>
    </row>
    <row r="57" spans="1:10" s="93" customFormat="1" ht="12" customHeight="1" outlineLevel="1">
      <c r="A57" s="99"/>
      <c r="B57" s="80"/>
      <c r="C57" s="112" t="s">
        <v>98</v>
      </c>
      <c r="D57" s="95"/>
      <c r="E57" s="88">
        <v>0</v>
      </c>
      <c r="F57" s="84"/>
      <c r="G57" s="101"/>
      <c r="H57" s="85"/>
      <c r="I57" s="98"/>
      <c r="J57" s="148"/>
    </row>
    <row r="58" spans="1:10" s="93" customFormat="1" ht="23.25" customHeight="1" outlineLevel="1">
      <c r="A58" s="99"/>
      <c r="B58" s="80"/>
      <c r="C58" s="112" t="s">
        <v>266</v>
      </c>
      <c r="D58" s="95"/>
      <c r="E58" s="88">
        <f>((1+0.65*2)*7+(2.1+1.6*2)*18+(2.35+1.6*2)*6+(1.2+1.6*2)*63+(0.9+2.35*2)*63+2.35*2.2)*0.15</f>
        <v>116.99549999999999</v>
      </c>
      <c r="F58" s="84"/>
      <c r="G58" s="101"/>
      <c r="H58" s="85"/>
      <c r="I58" s="98"/>
      <c r="J58" s="148"/>
    </row>
    <row r="59" spans="1:10" s="93" customFormat="1" ht="12" customHeight="1" outlineLevel="1">
      <c r="A59" s="99"/>
      <c r="B59" s="80"/>
      <c r="C59" s="112" t="s">
        <v>175</v>
      </c>
      <c r="D59" s="95"/>
      <c r="E59" s="88">
        <v>0</v>
      </c>
      <c r="F59" s="84"/>
      <c r="G59" s="101"/>
      <c r="H59" s="85"/>
      <c r="I59" s="98"/>
      <c r="J59" s="148"/>
    </row>
    <row r="60" spans="1:10" s="93" customFormat="1" ht="12.75" customHeight="1" outlineLevel="1">
      <c r="A60" s="99"/>
      <c r="B60" s="80"/>
      <c r="C60" s="112" t="s">
        <v>604</v>
      </c>
      <c r="D60" s="95"/>
      <c r="E60" s="88">
        <f>(1*0.65*7+2.1*1.6*18+2.35*1.25*6+(1.52*1.6+0.9*2.35)*63+2.35*2.2)*-1</f>
        <v>-374.286</v>
      </c>
      <c r="F60" s="84"/>
      <c r="G60" s="101"/>
      <c r="H60" s="85"/>
      <c r="I60" s="98"/>
      <c r="J60" s="148"/>
    </row>
    <row r="61" spans="1:10" s="93" customFormat="1" ht="12" customHeight="1" outlineLevel="1">
      <c r="A61" s="99"/>
      <c r="B61" s="137" t="s">
        <v>256</v>
      </c>
      <c r="C61" s="112" t="s">
        <v>268</v>
      </c>
      <c r="D61" s="95"/>
      <c r="E61" s="88">
        <f>(1*2+0.2)*2.67*74+(1*2+0.2)*1.55*8</f>
        <v>461.9560000000001</v>
      </c>
      <c r="F61" s="84"/>
      <c r="G61" s="101"/>
      <c r="H61" s="85"/>
      <c r="I61" s="98"/>
      <c r="J61" s="148"/>
    </row>
    <row r="62" spans="1:10" s="93" customFormat="1" ht="11.25" customHeight="1" outlineLevel="1">
      <c r="A62" s="99"/>
      <c r="B62" s="137" t="s">
        <v>258</v>
      </c>
      <c r="C62" s="112" t="s">
        <v>269</v>
      </c>
      <c r="D62" s="95"/>
      <c r="E62" s="88">
        <f>3.6*1.2*70</f>
        <v>302.40000000000003</v>
      </c>
      <c r="F62" s="84"/>
      <c r="G62" s="101"/>
      <c r="H62" s="85"/>
      <c r="I62" s="98"/>
      <c r="J62" s="148"/>
    </row>
    <row r="63" spans="1:10" s="93" customFormat="1" ht="11.25" customHeight="1" outlineLevel="1">
      <c r="A63" s="99"/>
      <c r="B63" s="137" t="s">
        <v>260</v>
      </c>
      <c r="C63" s="112" t="s">
        <v>270</v>
      </c>
      <c r="D63" s="95"/>
      <c r="E63" s="88">
        <f>(25.2+0.3*2)*8*0.15+(7.2+0.3*2)*6*0.15</f>
        <v>37.980000000000004</v>
      </c>
      <c r="F63" s="84"/>
      <c r="G63" s="101"/>
      <c r="H63" s="85"/>
      <c r="I63" s="98"/>
      <c r="J63" s="148"/>
    </row>
    <row r="64" spans="1:10" s="93" customFormat="1" ht="11.25" customHeight="1" outlineLevel="1">
      <c r="A64" s="99"/>
      <c r="B64" s="137"/>
      <c r="C64" s="112" t="s">
        <v>271</v>
      </c>
      <c r="D64" s="95"/>
      <c r="E64" s="88">
        <v>0</v>
      </c>
      <c r="F64" s="84"/>
      <c r="G64" s="101"/>
      <c r="H64" s="85"/>
      <c r="I64" s="98"/>
      <c r="J64" s="148"/>
    </row>
    <row r="65" spans="1:10" s="93" customFormat="1" ht="11.25" customHeight="1" outlineLevel="1">
      <c r="A65" s="99"/>
      <c r="B65" s="137" t="s">
        <v>176</v>
      </c>
      <c r="C65" s="112" t="s">
        <v>174</v>
      </c>
      <c r="D65" s="95"/>
      <c r="E65" s="88">
        <v>0</v>
      </c>
      <c r="F65" s="84"/>
      <c r="G65" s="101"/>
      <c r="H65" s="85"/>
      <c r="I65" s="98"/>
      <c r="J65" s="148"/>
    </row>
    <row r="66" spans="1:10" s="93" customFormat="1" ht="11.25" customHeight="1" outlineLevel="1">
      <c r="A66" s="99"/>
      <c r="B66" s="80"/>
      <c r="C66" s="112" t="s">
        <v>272</v>
      </c>
      <c r="D66" s="95"/>
      <c r="E66" s="88">
        <f>(9+0.3+7.45)*20.9</f>
        <v>350.075</v>
      </c>
      <c r="F66" s="84"/>
      <c r="G66" s="101"/>
      <c r="H66" s="85"/>
      <c r="I66" s="98"/>
      <c r="J66" s="148"/>
    </row>
    <row r="67" spans="1:10" s="93" customFormat="1" ht="11.25" customHeight="1" outlineLevel="1">
      <c r="A67" s="99"/>
      <c r="B67" s="80"/>
      <c r="C67" s="112" t="s">
        <v>98</v>
      </c>
      <c r="D67" s="95"/>
      <c r="E67" s="88">
        <v>0</v>
      </c>
      <c r="F67" s="84"/>
      <c r="G67" s="101"/>
      <c r="H67" s="85"/>
      <c r="I67" s="98"/>
      <c r="J67" s="148"/>
    </row>
    <row r="68" spans="1:10" s="93" customFormat="1" ht="11.25" customHeight="1" outlineLevel="1">
      <c r="A68" s="99"/>
      <c r="B68" s="80"/>
      <c r="C68" s="112" t="s">
        <v>273</v>
      </c>
      <c r="D68" s="95"/>
      <c r="E68" s="88">
        <f>((0.9+1.6*2)*6+1.8+2.2*2)*0.15</f>
        <v>4.62</v>
      </c>
      <c r="F68" s="84"/>
      <c r="G68" s="101"/>
      <c r="H68" s="85"/>
      <c r="I68" s="98"/>
      <c r="J68" s="148"/>
    </row>
    <row r="69" spans="1:10" s="93" customFormat="1" ht="11.25" customHeight="1" outlineLevel="1">
      <c r="A69" s="99"/>
      <c r="B69" s="80"/>
      <c r="C69" s="112" t="s">
        <v>175</v>
      </c>
      <c r="D69" s="95"/>
      <c r="E69" s="88">
        <v>0</v>
      </c>
      <c r="F69" s="84"/>
      <c r="G69" s="101"/>
      <c r="H69" s="85"/>
      <c r="I69" s="98"/>
      <c r="J69" s="148"/>
    </row>
    <row r="70" spans="1:10" s="93" customFormat="1" ht="11.25" customHeight="1" outlineLevel="1">
      <c r="A70" s="99"/>
      <c r="B70" s="80"/>
      <c r="C70" s="112" t="s">
        <v>274</v>
      </c>
      <c r="D70" s="95"/>
      <c r="E70" s="88">
        <f>(0.9*1.6*6+2.2*1.8)*-1</f>
        <v>-12.600000000000001</v>
      </c>
      <c r="F70" s="84"/>
      <c r="G70" s="101"/>
      <c r="H70" s="85"/>
      <c r="I70" s="98"/>
      <c r="J70" s="148"/>
    </row>
    <row r="71" spans="1:10" s="93" customFormat="1" ht="11.25" customHeight="1" outlineLevel="1">
      <c r="A71" s="99"/>
      <c r="B71" s="137"/>
      <c r="C71" s="112" t="s">
        <v>275</v>
      </c>
      <c r="D71" s="95"/>
      <c r="E71" s="88">
        <v>0</v>
      </c>
      <c r="F71" s="84"/>
      <c r="G71" s="101"/>
      <c r="H71" s="85"/>
      <c r="I71" s="98"/>
      <c r="J71" s="148"/>
    </row>
    <row r="72" spans="1:10" s="93" customFormat="1" ht="11.25" customHeight="1" outlineLevel="1">
      <c r="A72" s="99"/>
      <c r="B72" s="137" t="s">
        <v>176</v>
      </c>
      <c r="C72" s="112" t="s">
        <v>174</v>
      </c>
      <c r="D72" s="95"/>
      <c r="E72" s="88">
        <v>0</v>
      </c>
      <c r="F72" s="84"/>
      <c r="G72" s="101"/>
      <c r="H72" s="85"/>
      <c r="I72" s="98"/>
      <c r="J72" s="148"/>
    </row>
    <row r="73" spans="1:10" s="93" customFormat="1" ht="11.25" customHeight="1" outlineLevel="1">
      <c r="A73" s="99"/>
      <c r="B73" s="80"/>
      <c r="C73" s="112" t="s">
        <v>276</v>
      </c>
      <c r="D73" s="95"/>
      <c r="E73" s="88">
        <f>(12.85+0.3)*13.025</f>
        <v>171.27875</v>
      </c>
      <c r="F73" s="84"/>
      <c r="G73" s="101"/>
      <c r="H73" s="85"/>
      <c r="I73" s="98"/>
      <c r="J73" s="148"/>
    </row>
    <row r="74" spans="1:10" s="93" customFormat="1" ht="11.25" customHeight="1" outlineLevel="1">
      <c r="A74" s="99"/>
      <c r="B74" s="80"/>
      <c r="C74" s="112" t="s">
        <v>98</v>
      </c>
      <c r="D74" s="95"/>
      <c r="E74" s="88">
        <v>0</v>
      </c>
      <c r="F74" s="84"/>
      <c r="G74" s="101"/>
      <c r="H74" s="85"/>
      <c r="I74" s="98"/>
      <c r="J74" s="148"/>
    </row>
    <row r="75" spans="1:10" s="93" customFormat="1" ht="11.25" customHeight="1" outlineLevel="1">
      <c r="A75" s="99"/>
      <c r="B75" s="80"/>
      <c r="C75" s="112" t="s">
        <v>277</v>
      </c>
      <c r="D75" s="95"/>
      <c r="E75" s="88">
        <f>(0.9+1.6*2)*4*0.15</f>
        <v>2.4600000000000004</v>
      </c>
      <c r="F75" s="84"/>
      <c r="G75" s="101"/>
      <c r="H75" s="85"/>
      <c r="I75" s="98"/>
      <c r="J75" s="148"/>
    </row>
    <row r="76" spans="1:10" s="93" customFormat="1" ht="11.25" customHeight="1" outlineLevel="1">
      <c r="A76" s="99"/>
      <c r="B76" s="80"/>
      <c r="C76" s="112" t="s">
        <v>175</v>
      </c>
      <c r="D76" s="95"/>
      <c r="E76" s="88">
        <v>0</v>
      </c>
      <c r="F76" s="84"/>
      <c r="G76" s="101"/>
      <c r="H76" s="85"/>
      <c r="I76" s="98"/>
      <c r="J76" s="148"/>
    </row>
    <row r="77" spans="1:10" s="93" customFormat="1" ht="12" customHeight="1" outlineLevel="1">
      <c r="A77" s="99"/>
      <c r="B77" s="80"/>
      <c r="C77" s="112" t="s">
        <v>278</v>
      </c>
      <c r="D77" s="95"/>
      <c r="E77" s="88">
        <f>(0.9*1.6*4)*-1</f>
        <v>-5.760000000000001</v>
      </c>
      <c r="F77" s="84"/>
      <c r="G77" s="101"/>
      <c r="H77" s="85"/>
      <c r="I77" s="98"/>
      <c r="J77" s="148"/>
    </row>
    <row r="78" spans="1:10" s="93" customFormat="1" ht="12" customHeight="1" outlineLevel="1">
      <c r="A78" s="99"/>
      <c r="B78" s="80"/>
      <c r="C78" s="112"/>
      <c r="D78" s="95"/>
      <c r="E78" s="88"/>
      <c r="F78" s="84"/>
      <c r="G78" s="101"/>
      <c r="H78" s="85"/>
      <c r="I78" s="98"/>
      <c r="J78" s="148"/>
    </row>
    <row r="79" spans="1:10" s="93" customFormat="1" ht="12" customHeight="1" outlineLevel="1">
      <c r="A79" s="99"/>
      <c r="B79" s="137" t="s">
        <v>279</v>
      </c>
      <c r="C79" s="112" t="s">
        <v>280</v>
      </c>
      <c r="D79" s="95"/>
      <c r="E79" s="139">
        <f>3.45*(9.35*2+4.25*2)</f>
        <v>93.84</v>
      </c>
      <c r="F79" s="84"/>
      <c r="G79" s="101"/>
      <c r="H79" s="85"/>
      <c r="I79" s="98"/>
      <c r="J79" s="148"/>
    </row>
    <row r="80" spans="1:10" ht="12" customHeight="1">
      <c r="A80" s="163" t="s">
        <v>477</v>
      </c>
      <c r="B80" s="80" t="s">
        <v>110</v>
      </c>
      <c r="C80" s="81" t="s">
        <v>111</v>
      </c>
      <c r="D80" s="82" t="s">
        <v>72</v>
      </c>
      <c r="E80" s="83">
        <f>SUM(E81:E116)</f>
        <v>4510.553350000001</v>
      </c>
      <c r="F80" s="84">
        <v>0.02228</v>
      </c>
      <c r="G80" s="101">
        <f>E80*F80</f>
        <v>100.49512863800003</v>
      </c>
      <c r="H80" s="85"/>
      <c r="I80" s="86">
        <f>E80*H80</f>
        <v>0</v>
      </c>
      <c r="J80" s="148" t="s">
        <v>250</v>
      </c>
    </row>
    <row r="81" spans="1:10" s="93" customFormat="1" ht="12" customHeight="1" outlineLevel="1">
      <c r="A81" s="99"/>
      <c r="B81" s="80"/>
      <c r="C81" s="112" t="s">
        <v>263</v>
      </c>
      <c r="D81" s="95"/>
      <c r="E81" s="88">
        <v>0</v>
      </c>
      <c r="F81" s="100"/>
      <c r="G81" s="101"/>
      <c r="H81" s="102"/>
      <c r="I81" s="98"/>
      <c r="J81" s="149"/>
    </row>
    <row r="82" spans="1:10" s="93" customFormat="1" ht="12" customHeight="1" outlineLevel="1">
      <c r="A82" s="99"/>
      <c r="B82" s="137" t="s">
        <v>176</v>
      </c>
      <c r="C82" s="112" t="s">
        <v>174</v>
      </c>
      <c r="D82" s="95"/>
      <c r="E82" s="88">
        <v>0</v>
      </c>
      <c r="F82" s="100"/>
      <c r="G82" s="101"/>
      <c r="H82" s="102"/>
      <c r="I82" s="98"/>
      <c r="J82" s="149"/>
    </row>
    <row r="83" spans="1:10" s="93" customFormat="1" ht="15" customHeight="1" outlineLevel="1">
      <c r="A83" s="99"/>
      <c r="B83" s="80"/>
      <c r="C83" s="112" t="s">
        <v>262</v>
      </c>
      <c r="D83" s="95"/>
      <c r="E83" s="88">
        <f>(0.44+0.3+3.46+2.35+22.24+1.2+18.84+(1.2*2+1.2)*9)*21.92+3*2*1.2</f>
        <v>1787.7616</v>
      </c>
      <c r="F83" s="100"/>
      <c r="G83" s="101"/>
      <c r="H83" s="102"/>
      <c r="I83" s="98"/>
      <c r="J83" s="149"/>
    </row>
    <row r="84" spans="1:10" s="93" customFormat="1" ht="12" customHeight="1" outlineLevel="1">
      <c r="A84" s="99"/>
      <c r="B84" s="80"/>
      <c r="C84" s="112" t="s">
        <v>98</v>
      </c>
      <c r="D84" s="95"/>
      <c r="E84" s="88">
        <v>0</v>
      </c>
      <c r="F84" s="100"/>
      <c r="G84" s="101"/>
      <c r="H84" s="102"/>
      <c r="I84" s="98"/>
      <c r="J84" s="149"/>
    </row>
    <row r="85" spans="1:10" s="93" customFormat="1" ht="24" customHeight="1" outlineLevel="1">
      <c r="A85" s="99"/>
      <c r="B85" s="80"/>
      <c r="C85" s="112" t="s">
        <v>254</v>
      </c>
      <c r="D85" s="95"/>
      <c r="E85" s="88">
        <f>((1+2*0.65)*6+(0.9+1.6*2)*8+(2.1+1.6*2)*25+(1.2+1.6*2)*49+(0.9+2.35*2)*49+(2.35+1.5*2)*7)*0.15</f>
        <v>105.98250000000003</v>
      </c>
      <c r="F85" s="100"/>
      <c r="G85" s="101"/>
      <c r="H85" s="102"/>
      <c r="I85" s="98"/>
      <c r="J85" s="149"/>
    </row>
    <row r="86" spans="1:10" s="93" customFormat="1" ht="12" customHeight="1" outlineLevel="1">
      <c r="A86" s="99"/>
      <c r="B86" s="80"/>
      <c r="C86" s="112" t="s">
        <v>175</v>
      </c>
      <c r="D86" s="95"/>
      <c r="E86" s="88">
        <v>0</v>
      </c>
      <c r="F86" s="100"/>
      <c r="G86" s="101"/>
      <c r="H86" s="102"/>
      <c r="I86" s="98"/>
      <c r="J86" s="149"/>
    </row>
    <row r="87" spans="1:10" s="93" customFormat="1" ht="23.25" customHeight="1" outlineLevel="1">
      <c r="A87" s="99"/>
      <c r="B87" s="80"/>
      <c r="C87" s="112" t="s">
        <v>603</v>
      </c>
      <c r="D87" s="95"/>
      <c r="E87" s="88">
        <f>(1*0.65*6+0.9*1.6*8+2.1*1.6*28+1.2*1.6*49+0.9*2.35*49+2.35*1.25*7)*-1</f>
        <v>-327.77750000000003</v>
      </c>
      <c r="F87" s="100"/>
      <c r="G87" s="101"/>
      <c r="H87" s="102"/>
      <c r="I87" s="98"/>
      <c r="J87" s="149"/>
    </row>
    <row r="88" spans="1:10" s="93" customFormat="1" ht="12" customHeight="1" outlineLevel="1">
      <c r="A88" s="99"/>
      <c r="B88" s="137" t="s">
        <v>256</v>
      </c>
      <c r="C88" s="112" t="s">
        <v>257</v>
      </c>
      <c r="D88" s="95"/>
      <c r="E88" s="88">
        <f>(1*2+0.2)*2.62*60+(1*2+0.2)*1.65*9</f>
        <v>378.5100000000001</v>
      </c>
      <c r="F88" s="100"/>
      <c r="G88" s="101"/>
      <c r="H88" s="102"/>
      <c r="I88" s="98"/>
      <c r="J88" s="149"/>
    </row>
    <row r="89" spans="1:10" s="93" customFormat="1" ht="12" customHeight="1" outlineLevel="1">
      <c r="A89" s="99"/>
      <c r="B89" s="137" t="s">
        <v>258</v>
      </c>
      <c r="C89" s="112" t="s">
        <v>259</v>
      </c>
      <c r="D89" s="95"/>
      <c r="E89" s="88">
        <f>3.6*1.2*54</f>
        <v>233.28000000000003</v>
      </c>
      <c r="F89" s="100"/>
      <c r="G89" s="101"/>
      <c r="H89" s="102"/>
      <c r="I89" s="98"/>
      <c r="J89" s="149"/>
    </row>
    <row r="90" spans="1:10" s="93" customFormat="1" ht="12" customHeight="1" outlineLevel="1">
      <c r="A90" s="99"/>
      <c r="B90" s="137" t="s">
        <v>260</v>
      </c>
      <c r="C90" s="112" t="s">
        <v>261</v>
      </c>
      <c r="D90" s="95"/>
      <c r="E90" s="88">
        <f>(18.03+0.3*2)*8*0.15+(7.2+0.3*2)*6*0.15</f>
        <v>29.376</v>
      </c>
      <c r="F90" s="100"/>
      <c r="G90" s="101"/>
      <c r="H90" s="102"/>
      <c r="I90" s="98"/>
      <c r="J90" s="149"/>
    </row>
    <row r="91" spans="1:10" s="93" customFormat="1" ht="12" customHeight="1" outlineLevel="1">
      <c r="A91" s="99"/>
      <c r="B91" s="80"/>
      <c r="C91" s="112" t="s">
        <v>264</v>
      </c>
      <c r="D91" s="95"/>
      <c r="E91" s="88">
        <v>0</v>
      </c>
      <c r="F91" s="100"/>
      <c r="G91" s="101"/>
      <c r="H91" s="102"/>
      <c r="I91" s="98"/>
      <c r="J91" s="149"/>
    </row>
    <row r="92" spans="1:10" s="93" customFormat="1" ht="12.75" customHeight="1" outlineLevel="1">
      <c r="A92" s="99"/>
      <c r="B92" s="137" t="s">
        <v>176</v>
      </c>
      <c r="C92" s="112" t="s">
        <v>174</v>
      </c>
      <c r="D92" s="95"/>
      <c r="E92" s="88">
        <v>0</v>
      </c>
      <c r="F92" s="100"/>
      <c r="G92" s="101"/>
      <c r="H92" s="102"/>
      <c r="I92" s="98"/>
      <c r="J92" s="149"/>
    </row>
    <row r="93" spans="1:10" s="93" customFormat="1" ht="12.75" customHeight="1" outlineLevel="1">
      <c r="A93" s="99"/>
      <c r="B93" s="80"/>
      <c r="C93" s="112" t="s">
        <v>265</v>
      </c>
      <c r="D93" s="95"/>
      <c r="E93" s="88">
        <f>(25.64+4.8+18.94+2.35+0.3)*22.05+3*2*1.2</f>
        <v>1154.4615000000001</v>
      </c>
      <c r="F93" s="100"/>
      <c r="G93" s="101"/>
      <c r="H93" s="102"/>
      <c r="I93" s="98"/>
      <c r="J93" s="149"/>
    </row>
    <row r="94" spans="1:10" s="93" customFormat="1" ht="12.75" customHeight="1" outlineLevel="1">
      <c r="A94" s="99"/>
      <c r="B94" s="80"/>
      <c r="C94" s="112" t="s">
        <v>98</v>
      </c>
      <c r="D94" s="95"/>
      <c r="E94" s="88">
        <v>0</v>
      </c>
      <c r="F94" s="100"/>
      <c r="G94" s="101"/>
      <c r="H94" s="102"/>
      <c r="I94" s="98"/>
      <c r="J94" s="149"/>
    </row>
    <row r="95" spans="1:10" s="93" customFormat="1" ht="12.75" customHeight="1" outlineLevel="1">
      <c r="A95" s="99"/>
      <c r="B95" s="80"/>
      <c r="C95" s="112" t="s">
        <v>266</v>
      </c>
      <c r="D95" s="95"/>
      <c r="E95" s="88">
        <f>((1+0.65*2)*7+(2.1+1.6*2)*18+(2.35+1.6*2)*6+(1.2+1.6*2)*63+(0.9+2.35*2)*63+2.35*2.2)*0.15</f>
        <v>116.99549999999999</v>
      </c>
      <c r="F95" s="100"/>
      <c r="G95" s="101"/>
      <c r="H95" s="102"/>
      <c r="I95" s="98"/>
      <c r="J95" s="149"/>
    </row>
    <row r="96" spans="1:10" s="93" customFormat="1" ht="12.75" customHeight="1" outlineLevel="1">
      <c r="A96" s="99"/>
      <c r="B96" s="80"/>
      <c r="C96" s="112" t="s">
        <v>175</v>
      </c>
      <c r="D96" s="95"/>
      <c r="E96" s="88">
        <v>0</v>
      </c>
      <c r="F96" s="100"/>
      <c r="G96" s="101"/>
      <c r="H96" s="102"/>
      <c r="I96" s="98"/>
      <c r="J96" s="149"/>
    </row>
    <row r="97" spans="1:10" s="93" customFormat="1" ht="12.75" customHeight="1" outlineLevel="1">
      <c r="A97" s="99"/>
      <c r="B97" s="80"/>
      <c r="C97" s="112" t="s">
        <v>604</v>
      </c>
      <c r="D97" s="95"/>
      <c r="E97" s="88">
        <f>(1*0.65*7+2.1*1.6*18+2.35*1.25*6+(1.52*1.6+0.9*2.35)*63+2.35*2.2)*-1</f>
        <v>-374.286</v>
      </c>
      <c r="F97" s="100"/>
      <c r="G97" s="101"/>
      <c r="H97" s="102"/>
      <c r="I97" s="98"/>
      <c r="J97" s="149"/>
    </row>
    <row r="98" spans="1:10" s="93" customFormat="1" ht="12.75" customHeight="1" outlineLevel="1">
      <c r="A98" s="99"/>
      <c r="B98" s="137" t="s">
        <v>256</v>
      </c>
      <c r="C98" s="112" t="s">
        <v>268</v>
      </c>
      <c r="D98" s="95"/>
      <c r="E98" s="88">
        <f>(1*2+0.2)*2.67*74+(1*2+0.2)*1.55*8</f>
        <v>461.9560000000001</v>
      </c>
      <c r="F98" s="100"/>
      <c r="G98" s="101"/>
      <c r="H98" s="102"/>
      <c r="I98" s="98"/>
      <c r="J98" s="149"/>
    </row>
    <row r="99" spans="1:10" s="93" customFormat="1" ht="12.75" customHeight="1" outlineLevel="1">
      <c r="A99" s="99"/>
      <c r="B99" s="137" t="s">
        <v>258</v>
      </c>
      <c r="C99" s="112" t="s">
        <v>269</v>
      </c>
      <c r="D99" s="95"/>
      <c r="E99" s="88">
        <f>3.6*1.2*70</f>
        <v>302.40000000000003</v>
      </c>
      <c r="F99" s="100"/>
      <c r="G99" s="101"/>
      <c r="H99" s="102"/>
      <c r="I99" s="98"/>
      <c r="J99" s="149"/>
    </row>
    <row r="100" spans="1:10" s="93" customFormat="1" ht="12.75" customHeight="1" outlineLevel="1">
      <c r="A100" s="99"/>
      <c r="B100" s="137" t="s">
        <v>260</v>
      </c>
      <c r="C100" s="112" t="s">
        <v>270</v>
      </c>
      <c r="D100" s="95"/>
      <c r="E100" s="88">
        <f>(25.2+0.3*2)*8*0.15+(7.2+0.3*2)*6*0.15</f>
        <v>37.980000000000004</v>
      </c>
      <c r="F100" s="100"/>
      <c r="G100" s="101"/>
      <c r="H100" s="102"/>
      <c r="I100" s="98"/>
      <c r="J100" s="149"/>
    </row>
    <row r="101" spans="1:10" s="93" customFormat="1" ht="12.75" customHeight="1" outlineLevel="1">
      <c r="A101" s="99"/>
      <c r="B101" s="137"/>
      <c r="C101" s="112" t="s">
        <v>271</v>
      </c>
      <c r="D101" s="95"/>
      <c r="E101" s="88">
        <v>0</v>
      </c>
      <c r="F101" s="100"/>
      <c r="G101" s="101"/>
      <c r="H101" s="102"/>
      <c r="I101" s="98"/>
      <c r="J101" s="149"/>
    </row>
    <row r="102" spans="1:10" s="93" customFormat="1" ht="12.75" customHeight="1" outlineLevel="1">
      <c r="A102" s="99"/>
      <c r="B102" s="137" t="s">
        <v>176</v>
      </c>
      <c r="C102" s="112" t="s">
        <v>174</v>
      </c>
      <c r="D102" s="95"/>
      <c r="E102" s="88">
        <v>0</v>
      </c>
      <c r="F102" s="100"/>
      <c r="G102" s="101"/>
      <c r="H102" s="102"/>
      <c r="I102" s="98"/>
      <c r="J102" s="149"/>
    </row>
    <row r="103" spans="1:10" s="93" customFormat="1" ht="12.75" customHeight="1" outlineLevel="1">
      <c r="A103" s="99"/>
      <c r="B103" s="80"/>
      <c r="C103" s="112" t="s">
        <v>272</v>
      </c>
      <c r="D103" s="95"/>
      <c r="E103" s="88">
        <f>(9+0.3+7.45)*20.9</f>
        <v>350.075</v>
      </c>
      <c r="F103" s="100"/>
      <c r="G103" s="101"/>
      <c r="H103" s="102"/>
      <c r="I103" s="98"/>
      <c r="J103" s="149"/>
    </row>
    <row r="104" spans="1:10" s="93" customFormat="1" ht="12.75" customHeight="1" outlineLevel="1">
      <c r="A104" s="99"/>
      <c r="B104" s="80"/>
      <c r="C104" s="112" t="s">
        <v>98</v>
      </c>
      <c r="D104" s="95"/>
      <c r="E104" s="88">
        <v>0</v>
      </c>
      <c r="F104" s="100"/>
      <c r="G104" s="101"/>
      <c r="H104" s="102"/>
      <c r="I104" s="98"/>
      <c r="J104" s="149"/>
    </row>
    <row r="105" spans="1:10" s="93" customFormat="1" ht="12.75" customHeight="1" outlineLevel="1">
      <c r="A105" s="99"/>
      <c r="B105" s="80"/>
      <c r="C105" s="112" t="s">
        <v>273</v>
      </c>
      <c r="D105" s="95"/>
      <c r="E105" s="88">
        <f>((0.9+1.6*2)*6+1.8+2.2*2)*0.15</f>
        <v>4.62</v>
      </c>
      <c r="F105" s="100"/>
      <c r="G105" s="101"/>
      <c r="H105" s="102"/>
      <c r="I105" s="98"/>
      <c r="J105" s="149"/>
    </row>
    <row r="106" spans="1:10" s="93" customFormat="1" ht="12.75" customHeight="1" outlineLevel="1">
      <c r="A106" s="99"/>
      <c r="B106" s="80"/>
      <c r="C106" s="112" t="s">
        <v>175</v>
      </c>
      <c r="D106" s="95"/>
      <c r="E106" s="88">
        <v>0</v>
      </c>
      <c r="F106" s="100"/>
      <c r="G106" s="101"/>
      <c r="H106" s="102"/>
      <c r="I106" s="98"/>
      <c r="J106" s="149"/>
    </row>
    <row r="107" spans="1:10" s="93" customFormat="1" ht="12.75" customHeight="1" outlineLevel="1">
      <c r="A107" s="99"/>
      <c r="B107" s="80"/>
      <c r="C107" s="112" t="s">
        <v>274</v>
      </c>
      <c r="D107" s="95"/>
      <c r="E107" s="88">
        <f>(0.9*1.6*6+2.2*1.8)*-1</f>
        <v>-12.600000000000001</v>
      </c>
      <c r="F107" s="100"/>
      <c r="G107" s="101"/>
      <c r="H107" s="102"/>
      <c r="I107" s="98"/>
      <c r="J107" s="149"/>
    </row>
    <row r="108" spans="1:10" s="93" customFormat="1" ht="12.75" customHeight="1" outlineLevel="1">
      <c r="A108" s="99"/>
      <c r="B108" s="137"/>
      <c r="C108" s="112" t="s">
        <v>275</v>
      </c>
      <c r="D108" s="95"/>
      <c r="E108" s="88">
        <v>0</v>
      </c>
      <c r="F108" s="100"/>
      <c r="G108" s="101"/>
      <c r="H108" s="102"/>
      <c r="I108" s="98"/>
      <c r="J108" s="149"/>
    </row>
    <row r="109" spans="1:10" s="93" customFormat="1" ht="12.75" customHeight="1" outlineLevel="1">
      <c r="A109" s="99"/>
      <c r="B109" s="137" t="s">
        <v>176</v>
      </c>
      <c r="C109" s="112" t="s">
        <v>174</v>
      </c>
      <c r="D109" s="95"/>
      <c r="E109" s="88">
        <v>0</v>
      </c>
      <c r="F109" s="100"/>
      <c r="G109" s="101"/>
      <c r="H109" s="102"/>
      <c r="I109" s="98"/>
      <c r="J109" s="149"/>
    </row>
    <row r="110" spans="1:10" s="93" customFormat="1" ht="12.75" customHeight="1" outlineLevel="1">
      <c r="A110" s="99"/>
      <c r="B110" s="80"/>
      <c r="C110" s="112" t="s">
        <v>276</v>
      </c>
      <c r="D110" s="95"/>
      <c r="E110" s="88">
        <f>(12.85+0.3)*13.025</f>
        <v>171.27875</v>
      </c>
      <c r="F110" s="100"/>
      <c r="G110" s="101"/>
      <c r="H110" s="102"/>
      <c r="I110" s="98"/>
      <c r="J110" s="149"/>
    </row>
    <row r="111" spans="1:10" s="93" customFormat="1" ht="12" customHeight="1" outlineLevel="1">
      <c r="A111" s="99"/>
      <c r="B111" s="80"/>
      <c r="C111" s="112" t="s">
        <v>98</v>
      </c>
      <c r="D111" s="95"/>
      <c r="E111" s="88">
        <v>0</v>
      </c>
      <c r="F111" s="100"/>
      <c r="G111" s="101"/>
      <c r="H111" s="102"/>
      <c r="I111" s="98"/>
      <c r="J111" s="149"/>
    </row>
    <row r="112" spans="1:10" s="93" customFormat="1" ht="12" customHeight="1" outlineLevel="1">
      <c r="A112" s="99"/>
      <c r="B112" s="80"/>
      <c r="C112" s="112" t="s">
        <v>277</v>
      </c>
      <c r="D112" s="95"/>
      <c r="E112" s="88">
        <f>(0.9+1.6*2)*4*0.15</f>
        <v>2.4600000000000004</v>
      </c>
      <c r="F112" s="100"/>
      <c r="G112" s="101"/>
      <c r="H112" s="102"/>
      <c r="I112" s="98"/>
      <c r="J112" s="149"/>
    </row>
    <row r="113" spans="1:10" s="93" customFormat="1" ht="12" customHeight="1" outlineLevel="1">
      <c r="A113" s="99"/>
      <c r="B113" s="80"/>
      <c r="C113" s="112" t="s">
        <v>175</v>
      </c>
      <c r="D113" s="95"/>
      <c r="E113" s="88">
        <v>0</v>
      </c>
      <c r="F113" s="100"/>
      <c r="G113" s="101"/>
      <c r="H113" s="102"/>
      <c r="I113" s="98"/>
      <c r="J113" s="149"/>
    </row>
    <row r="114" spans="1:10" s="93" customFormat="1" ht="12" customHeight="1" outlineLevel="1">
      <c r="A114" s="99"/>
      <c r="B114" s="80"/>
      <c r="C114" s="112" t="s">
        <v>278</v>
      </c>
      <c r="D114" s="95"/>
      <c r="E114" s="88">
        <f>(0.9*1.6*4)*-1</f>
        <v>-5.760000000000001</v>
      </c>
      <c r="F114" s="100"/>
      <c r="G114" s="101"/>
      <c r="H114" s="102"/>
      <c r="I114" s="98"/>
      <c r="J114" s="149"/>
    </row>
    <row r="115" spans="1:10" s="93" customFormat="1" ht="12" customHeight="1" outlineLevel="1">
      <c r="A115" s="99"/>
      <c r="B115" s="80"/>
      <c r="C115" s="112"/>
      <c r="D115" s="95"/>
      <c r="E115" s="88"/>
      <c r="F115" s="100"/>
      <c r="G115" s="101"/>
      <c r="H115" s="102"/>
      <c r="I115" s="98"/>
      <c r="J115" s="149"/>
    </row>
    <row r="116" spans="1:10" s="93" customFormat="1" ht="12" customHeight="1" outlineLevel="1">
      <c r="A116" s="99"/>
      <c r="B116" s="137" t="s">
        <v>279</v>
      </c>
      <c r="C116" s="112" t="s">
        <v>280</v>
      </c>
      <c r="D116" s="95"/>
      <c r="E116" s="139">
        <f>3.45*(9.35*2+4.25*2)</f>
        <v>93.84</v>
      </c>
      <c r="F116" s="100"/>
      <c r="G116" s="101"/>
      <c r="H116" s="102"/>
      <c r="I116" s="98"/>
      <c r="J116" s="149"/>
    </row>
    <row r="117" spans="1:10" ht="12" customHeight="1">
      <c r="A117" s="99" t="s">
        <v>478</v>
      </c>
      <c r="B117" s="80" t="s">
        <v>97</v>
      </c>
      <c r="C117" s="81" t="s">
        <v>112</v>
      </c>
      <c r="D117" s="82" t="s">
        <v>72</v>
      </c>
      <c r="E117" s="83">
        <f>SUM(E118:E119)</f>
        <v>902.1106700000003</v>
      </c>
      <c r="F117" s="84">
        <v>0.0035</v>
      </c>
      <c r="G117" s="101">
        <f>E117*F117</f>
        <v>3.157387345000001</v>
      </c>
      <c r="H117" s="85"/>
      <c r="I117" s="86">
        <f>E117*H117</f>
        <v>0</v>
      </c>
      <c r="J117" s="148" t="s">
        <v>250</v>
      </c>
    </row>
    <row r="118" spans="1:10" ht="12" customHeight="1" outlineLevel="1">
      <c r="A118" s="99"/>
      <c r="B118" s="80"/>
      <c r="C118" s="112" t="s">
        <v>121</v>
      </c>
      <c r="D118" s="95"/>
      <c r="E118" s="88">
        <v>0</v>
      </c>
      <c r="F118" s="84"/>
      <c r="G118" s="101"/>
      <c r="H118" s="102"/>
      <c r="I118" s="98"/>
      <c r="J118" s="148"/>
    </row>
    <row r="119" spans="1:10" s="93" customFormat="1" ht="12" customHeight="1" outlineLevel="1">
      <c r="A119" s="99"/>
      <c r="B119" s="96"/>
      <c r="C119" s="112" t="s">
        <v>122</v>
      </c>
      <c r="D119" s="95"/>
      <c r="E119" s="88">
        <f>E80*0.2</f>
        <v>902.1106700000003</v>
      </c>
      <c r="F119" s="100"/>
      <c r="G119" s="101"/>
      <c r="H119" s="102"/>
      <c r="I119" s="98"/>
      <c r="J119" s="149"/>
    </row>
    <row r="120" spans="1:10" s="93" customFormat="1" ht="12" customHeight="1">
      <c r="A120" s="99" t="s">
        <v>479</v>
      </c>
      <c r="B120" s="96" t="s">
        <v>281</v>
      </c>
      <c r="C120" s="81" t="s">
        <v>282</v>
      </c>
      <c r="D120" s="82" t="s">
        <v>74</v>
      </c>
      <c r="E120" s="83">
        <f>SUM(E121:E126)</f>
        <v>522.52</v>
      </c>
      <c r="F120" s="84">
        <v>2E-05</v>
      </c>
      <c r="G120" s="101">
        <f>E120*F120</f>
        <v>0.0104504</v>
      </c>
      <c r="H120" s="85"/>
      <c r="I120" s="86">
        <f>E120*H120</f>
        <v>0</v>
      </c>
      <c r="J120" s="148" t="s">
        <v>250</v>
      </c>
    </row>
    <row r="121" spans="1:10" s="93" customFormat="1" ht="24" customHeight="1" outlineLevel="1">
      <c r="A121" s="99"/>
      <c r="B121" s="96"/>
      <c r="C121" s="112" t="s">
        <v>283</v>
      </c>
      <c r="D121" s="133"/>
      <c r="E121" s="88">
        <v>0</v>
      </c>
      <c r="F121" s="100"/>
      <c r="G121" s="101"/>
      <c r="H121" s="102"/>
      <c r="I121" s="98"/>
      <c r="J121" s="149"/>
    </row>
    <row r="122" spans="1:10" s="93" customFormat="1" ht="12" customHeight="1" outlineLevel="1">
      <c r="A122" s="99"/>
      <c r="B122" s="96"/>
      <c r="C122" s="112" t="s">
        <v>247</v>
      </c>
      <c r="D122" s="133"/>
      <c r="E122" s="88">
        <v>0</v>
      </c>
      <c r="F122" s="100"/>
      <c r="G122" s="101"/>
      <c r="H122" s="102"/>
      <c r="I122" s="98"/>
      <c r="J122" s="149"/>
    </row>
    <row r="123" spans="1:10" s="93" customFormat="1" ht="12" customHeight="1" outlineLevel="1">
      <c r="A123" s="99"/>
      <c r="B123" s="96"/>
      <c r="C123" s="112" t="s">
        <v>284</v>
      </c>
      <c r="D123" s="133"/>
      <c r="E123" s="88">
        <f>1*6+0.9*8+2.1*28+2.1*49+2.35*7</f>
        <v>191.35</v>
      </c>
      <c r="F123" s="100"/>
      <c r="G123" s="101"/>
      <c r="H123" s="102"/>
      <c r="I123" s="98"/>
      <c r="J123" s="149"/>
    </row>
    <row r="124" spans="1:10" s="93" customFormat="1" ht="12" customHeight="1" outlineLevel="1">
      <c r="A124" s="99"/>
      <c r="B124" s="96"/>
      <c r="C124" s="115" t="s">
        <v>285</v>
      </c>
      <c r="D124" s="133"/>
      <c r="E124" s="116">
        <f>1*7+2.1*18+2.35*6+2.1*63+2.35</f>
        <v>193.55</v>
      </c>
      <c r="F124" s="100"/>
      <c r="G124" s="101"/>
      <c r="H124" s="102"/>
      <c r="I124" s="98"/>
      <c r="J124" s="149"/>
    </row>
    <row r="125" spans="1:10" s="93" customFormat="1" ht="12" customHeight="1" outlineLevel="1">
      <c r="A125" s="99"/>
      <c r="B125" s="96"/>
      <c r="C125" s="115" t="s">
        <v>286</v>
      </c>
      <c r="D125" s="133"/>
      <c r="E125" s="116">
        <f>0.9*(6+4)</f>
        <v>9</v>
      </c>
      <c r="F125" s="100"/>
      <c r="G125" s="101"/>
      <c r="H125" s="102"/>
      <c r="I125" s="98"/>
      <c r="J125" s="149"/>
    </row>
    <row r="126" spans="1:10" s="93" customFormat="1" ht="12" customHeight="1" outlineLevel="1">
      <c r="A126" s="99"/>
      <c r="B126" s="96"/>
      <c r="C126" s="115" t="s">
        <v>325</v>
      </c>
      <c r="D126" s="133"/>
      <c r="E126" s="116">
        <f>25.64+4.8+18.94+14.9+18.64+1.2+22.24+2.35+3.46+16.45</f>
        <v>128.61999999999998</v>
      </c>
      <c r="F126" s="84"/>
      <c r="G126" s="101"/>
      <c r="H126" s="85"/>
      <c r="I126" s="98"/>
      <c r="J126" s="148"/>
    </row>
    <row r="127" spans="1:10" s="93" customFormat="1" ht="12" customHeight="1">
      <c r="A127" s="99" t="s">
        <v>480</v>
      </c>
      <c r="B127" s="96" t="s">
        <v>297</v>
      </c>
      <c r="C127" s="81" t="s">
        <v>337</v>
      </c>
      <c r="D127" s="82" t="s">
        <v>74</v>
      </c>
      <c r="E127" s="83">
        <f>SUM(E128:E131)</f>
        <v>393.9</v>
      </c>
      <c r="F127" s="84">
        <v>7E-05</v>
      </c>
      <c r="G127" s="101">
        <f>E127*F127</f>
        <v>0.027572999999999997</v>
      </c>
      <c r="H127" s="85"/>
      <c r="I127" s="86">
        <f>E127*H127</f>
        <v>0</v>
      </c>
      <c r="J127" s="148" t="s">
        <v>250</v>
      </c>
    </row>
    <row r="128" spans="1:10" s="93" customFormat="1" ht="12" customHeight="1" outlineLevel="1">
      <c r="A128" s="99"/>
      <c r="B128" s="96"/>
      <c r="C128" s="112" t="s">
        <v>245</v>
      </c>
      <c r="D128" s="133"/>
      <c r="E128" s="88">
        <v>0</v>
      </c>
      <c r="F128" s="100"/>
      <c r="G128" s="101"/>
      <c r="H128" s="102"/>
      <c r="I128" s="98"/>
      <c r="J128" s="149"/>
    </row>
    <row r="129" spans="1:10" s="93" customFormat="1" ht="12" customHeight="1" outlineLevel="1">
      <c r="A129" s="99"/>
      <c r="B129" s="96"/>
      <c r="C129" s="112" t="s">
        <v>284</v>
      </c>
      <c r="D129" s="133"/>
      <c r="E129" s="88">
        <f>1*6+0.9*8+2.1*28+2.1*49+2.35*7</f>
        <v>191.35</v>
      </c>
      <c r="F129" s="100"/>
      <c r="G129" s="101"/>
      <c r="H129" s="102"/>
      <c r="I129" s="98"/>
      <c r="J129" s="149"/>
    </row>
    <row r="130" spans="1:10" s="93" customFormat="1" ht="12" customHeight="1" outlineLevel="1">
      <c r="A130" s="99"/>
      <c r="B130" s="96"/>
      <c r="C130" s="115" t="s">
        <v>285</v>
      </c>
      <c r="D130" s="133"/>
      <c r="E130" s="116">
        <f>1*7+2.1*18+2.35*6+2.1*63+2.35</f>
        <v>193.55</v>
      </c>
      <c r="F130" s="100"/>
      <c r="G130" s="101"/>
      <c r="H130" s="102"/>
      <c r="I130" s="98"/>
      <c r="J130" s="149"/>
    </row>
    <row r="131" spans="1:10" s="93" customFormat="1" ht="12" customHeight="1" outlineLevel="1">
      <c r="A131" s="99"/>
      <c r="B131" s="96"/>
      <c r="C131" s="115" t="s">
        <v>286</v>
      </c>
      <c r="D131" s="133"/>
      <c r="E131" s="116">
        <f>0.9*(6+4)</f>
        <v>9</v>
      </c>
      <c r="F131" s="100"/>
      <c r="G131" s="101"/>
      <c r="H131" s="102"/>
      <c r="I131" s="98"/>
      <c r="J131" s="149"/>
    </row>
    <row r="132" spans="1:10" s="93" customFormat="1" ht="12.75" customHeight="1">
      <c r="A132" s="99" t="s">
        <v>481</v>
      </c>
      <c r="B132" s="96" t="s">
        <v>287</v>
      </c>
      <c r="C132" s="81" t="s">
        <v>288</v>
      </c>
      <c r="D132" s="82" t="s">
        <v>74</v>
      </c>
      <c r="E132" s="83">
        <f>SUM(E133:E137)</f>
        <v>1183.2</v>
      </c>
      <c r="F132" s="84">
        <v>0.00011</v>
      </c>
      <c r="G132" s="101">
        <f>E132*F132</f>
        <v>0.13015200000000002</v>
      </c>
      <c r="H132" s="85"/>
      <c r="I132" s="86">
        <f>E132*H132</f>
        <v>0</v>
      </c>
      <c r="J132" s="148" t="s">
        <v>250</v>
      </c>
    </row>
    <row r="133" spans="1:10" s="93" customFormat="1" ht="23.25" customHeight="1" outlineLevel="1">
      <c r="A133" s="99"/>
      <c r="B133" s="96"/>
      <c r="C133" s="112" t="s">
        <v>289</v>
      </c>
      <c r="D133" s="133"/>
      <c r="E133" s="88">
        <v>0</v>
      </c>
      <c r="F133" s="100"/>
      <c r="G133" s="101"/>
      <c r="H133" s="102"/>
      <c r="I133" s="98"/>
      <c r="J133" s="149"/>
    </row>
    <row r="134" spans="1:10" s="93" customFormat="1" ht="12.75" customHeight="1" outlineLevel="1">
      <c r="A134" s="99"/>
      <c r="B134" s="96"/>
      <c r="C134" s="112" t="s">
        <v>246</v>
      </c>
      <c r="D134" s="133"/>
      <c r="E134" s="88">
        <v>0</v>
      </c>
      <c r="F134" s="100"/>
      <c r="G134" s="101"/>
      <c r="H134" s="102"/>
      <c r="I134" s="98"/>
      <c r="J134" s="149"/>
    </row>
    <row r="135" spans="1:10" s="93" customFormat="1" ht="34.5" customHeight="1" outlineLevel="1">
      <c r="A135" s="99"/>
      <c r="B135" s="96"/>
      <c r="C135" s="112" t="s">
        <v>290</v>
      </c>
      <c r="D135" s="133"/>
      <c r="E135" s="88">
        <f>(0.65*2+1)*6+(1.6*2+0.9)*8+(1.6*2+2.1)*28+(2.1+2.35*2)*49+(1.5*2+2.35)*7</f>
        <v>565.6500000000001</v>
      </c>
      <c r="F135" s="100"/>
      <c r="G135" s="101"/>
      <c r="H135" s="102"/>
      <c r="I135" s="98"/>
      <c r="J135" s="149"/>
    </row>
    <row r="136" spans="1:10" s="93" customFormat="1" ht="35.25" customHeight="1" outlineLevel="1">
      <c r="A136" s="99"/>
      <c r="B136" s="96"/>
      <c r="C136" s="138" t="s">
        <v>291</v>
      </c>
      <c r="D136" s="133"/>
      <c r="E136" s="88">
        <f>(1+0.65*2)*7+(2.1+1.6*2)*18+(2.35+1.5*2)*6+(2.1+2.35*2)*63+(2.2+2.35)</f>
        <v>576.55</v>
      </c>
      <c r="F136" s="100"/>
      <c r="G136" s="101"/>
      <c r="H136" s="102"/>
      <c r="I136" s="98"/>
      <c r="J136" s="149"/>
    </row>
    <row r="137" spans="1:10" s="93" customFormat="1" ht="12.75" customHeight="1" outlineLevel="1">
      <c r="A137" s="99"/>
      <c r="B137" s="96"/>
      <c r="C137" s="112" t="s">
        <v>292</v>
      </c>
      <c r="D137" s="133"/>
      <c r="E137" s="88">
        <f>(1.6*2+0.9)*(6+4)</f>
        <v>41.00000000000001</v>
      </c>
      <c r="F137" s="100"/>
      <c r="G137" s="101"/>
      <c r="H137" s="102"/>
      <c r="I137" s="98"/>
      <c r="J137" s="149"/>
    </row>
    <row r="138" spans="1:10" s="93" customFormat="1" ht="12.75" customHeight="1">
      <c r="A138" s="99" t="s">
        <v>482</v>
      </c>
      <c r="B138" s="96" t="s">
        <v>293</v>
      </c>
      <c r="C138" s="81" t="s">
        <v>294</v>
      </c>
      <c r="D138" s="82" t="s">
        <v>74</v>
      </c>
      <c r="E138" s="83">
        <f>SUM(E139:E141)</f>
        <v>62.65</v>
      </c>
      <c r="F138" s="84">
        <v>0.00053</v>
      </c>
      <c r="G138" s="101">
        <f>E138*F138</f>
        <v>0.0332045</v>
      </c>
      <c r="H138" s="85"/>
      <c r="I138" s="86">
        <f>E138*H138</f>
        <v>0</v>
      </c>
      <c r="J138" s="148" t="s">
        <v>250</v>
      </c>
    </row>
    <row r="139" spans="1:10" s="93" customFormat="1" ht="22.5" customHeight="1" outlineLevel="1">
      <c r="A139" s="99"/>
      <c r="B139" s="96"/>
      <c r="C139" s="112" t="s">
        <v>295</v>
      </c>
      <c r="D139" s="133"/>
      <c r="E139" s="88">
        <v>0</v>
      </c>
      <c r="F139" s="100"/>
      <c r="G139" s="101"/>
      <c r="H139" s="102"/>
      <c r="I139" s="98"/>
      <c r="J139" s="149"/>
    </row>
    <row r="140" spans="1:10" s="93" customFormat="1" ht="12.75" customHeight="1" outlineLevel="1">
      <c r="A140" s="99"/>
      <c r="B140" s="96"/>
      <c r="C140" s="112" t="s">
        <v>241</v>
      </c>
      <c r="D140" s="133"/>
      <c r="E140" s="88">
        <v>0</v>
      </c>
      <c r="F140" s="100"/>
      <c r="G140" s="101"/>
      <c r="H140" s="102"/>
      <c r="I140" s="98"/>
      <c r="J140" s="149"/>
    </row>
    <row r="141" spans="1:10" s="93" customFormat="1" ht="12.75" customHeight="1" outlineLevel="1">
      <c r="A141" s="99"/>
      <c r="B141" s="96"/>
      <c r="C141" s="112" t="s">
        <v>296</v>
      </c>
      <c r="D141" s="133"/>
      <c r="E141" s="88">
        <f>22.05+22.5+9.05*2</f>
        <v>62.65</v>
      </c>
      <c r="F141" s="100"/>
      <c r="G141" s="101"/>
      <c r="H141" s="102"/>
      <c r="I141" s="98"/>
      <c r="J141" s="149"/>
    </row>
    <row r="142" spans="1:10" s="93" customFormat="1" ht="12.75" customHeight="1">
      <c r="A142" s="99" t="s">
        <v>483</v>
      </c>
      <c r="B142" s="80" t="s">
        <v>99</v>
      </c>
      <c r="C142" s="81" t="s">
        <v>100</v>
      </c>
      <c r="D142" s="82" t="s">
        <v>72</v>
      </c>
      <c r="E142" s="83">
        <f>SUM(E143:E149)</f>
        <v>724.101</v>
      </c>
      <c r="F142" s="84">
        <v>0.00011</v>
      </c>
      <c r="G142" s="101">
        <f>E142*F142</f>
        <v>0.07965111</v>
      </c>
      <c r="H142" s="85"/>
      <c r="I142" s="86">
        <f>E142*H142</f>
        <v>0</v>
      </c>
      <c r="J142" s="148" t="s">
        <v>250</v>
      </c>
    </row>
    <row r="143" spans="1:10" s="93" customFormat="1" ht="33.75" customHeight="1" outlineLevel="1">
      <c r="A143" s="99"/>
      <c r="B143" s="96"/>
      <c r="C143" s="112" t="s">
        <v>298</v>
      </c>
      <c r="D143" s="133"/>
      <c r="E143" s="88">
        <v>0</v>
      </c>
      <c r="F143" s="100"/>
      <c r="G143" s="101"/>
      <c r="H143" s="102"/>
      <c r="I143" s="98"/>
      <c r="J143" s="149"/>
    </row>
    <row r="144" spans="1:10" s="93" customFormat="1" ht="12.75" customHeight="1" outlineLevel="1">
      <c r="A144" s="99"/>
      <c r="B144" s="96"/>
      <c r="C144" s="112" t="s">
        <v>123</v>
      </c>
      <c r="D144" s="133"/>
      <c r="E144" s="88">
        <v>0</v>
      </c>
      <c r="F144" s="100"/>
      <c r="G144" s="101"/>
      <c r="H144" s="102"/>
      <c r="I144" s="98"/>
      <c r="J144" s="149"/>
    </row>
    <row r="145" spans="1:10" s="93" customFormat="1" ht="22.5" customHeight="1" outlineLevel="1">
      <c r="A145" s="99"/>
      <c r="B145" s="96"/>
      <c r="C145" s="112" t="s">
        <v>255</v>
      </c>
      <c r="D145" s="95"/>
      <c r="E145" s="88">
        <f>1*0.65*6+0.9*1.6*8+2.1*1.6*28+1.2*1.6*49+0.9*2.35*49+2.35*1.5*7</f>
        <v>331.89000000000004</v>
      </c>
      <c r="F145" s="100"/>
      <c r="G145" s="101"/>
      <c r="H145" s="102"/>
      <c r="I145" s="98"/>
      <c r="J145" s="149"/>
    </row>
    <row r="146" spans="1:10" s="93" customFormat="1" ht="12.75" customHeight="1" outlineLevel="1">
      <c r="A146" s="99"/>
      <c r="B146" s="96"/>
      <c r="C146" s="112" t="s">
        <v>124</v>
      </c>
      <c r="D146" s="133"/>
      <c r="E146" s="88">
        <v>0</v>
      </c>
      <c r="F146" s="100"/>
      <c r="G146" s="101"/>
      <c r="H146" s="102"/>
      <c r="I146" s="98"/>
      <c r="J146" s="149"/>
    </row>
    <row r="147" spans="1:10" s="93" customFormat="1" ht="12.75" customHeight="1" outlineLevel="1">
      <c r="A147" s="99"/>
      <c r="B147" s="96"/>
      <c r="C147" s="112" t="s">
        <v>267</v>
      </c>
      <c r="D147" s="95"/>
      <c r="E147" s="88">
        <f>1*0.65*7+2.1*1.6*18+2.35*1.5*6+(1.52*1.6+0.9*2.35)*63+2.35*2.2</f>
        <v>377.81100000000004</v>
      </c>
      <c r="F147" s="100"/>
      <c r="G147" s="101"/>
      <c r="H147" s="102"/>
      <c r="I147" s="98"/>
      <c r="J147" s="149"/>
    </row>
    <row r="148" spans="1:10" s="93" customFormat="1" ht="12.75" customHeight="1" outlineLevel="1">
      <c r="A148" s="99"/>
      <c r="B148" s="96"/>
      <c r="C148" s="112" t="s">
        <v>149</v>
      </c>
      <c r="D148" s="133"/>
      <c r="E148" s="88">
        <v>0</v>
      </c>
      <c r="F148" s="100"/>
      <c r="G148" s="101"/>
      <c r="H148" s="102"/>
      <c r="I148" s="98"/>
      <c r="J148" s="149"/>
    </row>
    <row r="149" spans="1:10" s="93" customFormat="1" ht="12.75" customHeight="1" outlineLevel="1">
      <c r="A149" s="99"/>
      <c r="B149" s="96"/>
      <c r="C149" s="112" t="s">
        <v>299</v>
      </c>
      <c r="D149" s="95"/>
      <c r="E149" s="88">
        <f>0.9*1.6*10</f>
        <v>14.400000000000002</v>
      </c>
      <c r="F149" s="100"/>
      <c r="G149" s="101"/>
      <c r="H149" s="102"/>
      <c r="I149" s="98"/>
      <c r="J149" s="149"/>
    </row>
    <row r="150" spans="1:10" s="93" customFormat="1" ht="22.5" customHeight="1">
      <c r="A150" s="99" t="s">
        <v>484</v>
      </c>
      <c r="B150" s="80" t="s">
        <v>303</v>
      </c>
      <c r="C150" s="81" t="s">
        <v>304</v>
      </c>
      <c r="D150" s="82" t="s">
        <v>72</v>
      </c>
      <c r="E150" s="83">
        <f>SUM(E151:E155)</f>
        <v>31.200000000000003</v>
      </c>
      <c r="F150" s="84">
        <v>0.01074</v>
      </c>
      <c r="G150" s="101">
        <f>E150*F150</f>
        <v>0.335088</v>
      </c>
      <c r="H150" s="85"/>
      <c r="I150" s="86">
        <f>E150*H150</f>
        <v>0</v>
      </c>
      <c r="J150" s="148" t="s">
        <v>250</v>
      </c>
    </row>
    <row r="151" spans="1:10" s="93" customFormat="1" ht="44.25" customHeight="1" outlineLevel="1">
      <c r="A151" s="99"/>
      <c r="B151" s="96"/>
      <c r="C151" s="287" t="s">
        <v>101</v>
      </c>
      <c r="D151" s="287"/>
      <c r="E151" s="116">
        <v>0</v>
      </c>
      <c r="F151" s="100"/>
      <c r="G151" s="101"/>
      <c r="H151" s="102"/>
      <c r="I151" s="98"/>
      <c r="J151" s="149"/>
    </row>
    <row r="152" spans="1:10" s="93" customFormat="1" ht="12.75" customHeight="1" outlineLevel="1">
      <c r="A152" s="99"/>
      <c r="B152" s="96"/>
      <c r="C152" s="112" t="s">
        <v>177</v>
      </c>
      <c r="D152" s="95"/>
      <c r="E152" s="88">
        <v>0</v>
      </c>
      <c r="F152" s="100"/>
      <c r="G152" s="101"/>
      <c r="H152" s="102"/>
      <c r="I152" s="98"/>
      <c r="J152" s="149"/>
    </row>
    <row r="153" spans="1:10" s="93" customFormat="1" ht="12.75" customHeight="1" outlineLevel="1">
      <c r="A153" s="99"/>
      <c r="B153" s="96"/>
      <c r="C153" s="112" t="s">
        <v>305</v>
      </c>
      <c r="D153" s="95"/>
      <c r="E153" s="88">
        <f>0.6*(1.2*2+0.2)*9</f>
        <v>14.040000000000001</v>
      </c>
      <c r="F153" s="100"/>
      <c r="G153" s="101"/>
      <c r="H153" s="102"/>
      <c r="I153" s="98"/>
      <c r="J153" s="149"/>
    </row>
    <row r="154" spans="1:10" s="93" customFormat="1" ht="12.75" customHeight="1" outlineLevel="1">
      <c r="A154" s="99"/>
      <c r="B154" s="96"/>
      <c r="C154" s="112" t="s">
        <v>178</v>
      </c>
      <c r="D154" s="95"/>
      <c r="E154" s="88">
        <v>0</v>
      </c>
      <c r="F154" s="100"/>
      <c r="G154" s="101"/>
      <c r="H154" s="102"/>
      <c r="I154" s="98"/>
      <c r="J154" s="149"/>
    </row>
    <row r="155" spans="1:10" s="93" customFormat="1" ht="12.75" customHeight="1" outlineLevel="1">
      <c r="A155" s="99"/>
      <c r="B155" s="96"/>
      <c r="C155" s="112" t="s">
        <v>306</v>
      </c>
      <c r="D155" s="95"/>
      <c r="E155" s="88">
        <f>0.6*(1.2*2+0.2)*11</f>
        <v>17.16</v>
      </c>
      <c r="F155" s="100"/>
      <c r="G155" s="101"/>
      <c r="H155" s="102"/>
      <c r="I155" s="98"/>
      <c r="J155" s="149"/>
    </row>
    <row r="156" spans="1:10" s="93" customFormat="1" ht="22.5" customHeight="1">
      <c r="A156" s="163" t="s">
        <v>485</v>
      </c>
      <c r="B156" s="80" t="s">
        <v>300</v>
      </c>
      <c r="C156" s="81" t="s">
        <v>430</v>
      </c>
      <c r="D156" s="82" t="s">
        <v>72</v>
      </c>
      <c r="E156" s="83">
        <f>SUM(E157:E163)</f>
        <v>75.522</v>
      </c>
      <c r="F156" s="84">
        <v>0.01288</v>
      </c>
      <c r="G156" s="101">
        <f>E156*F156</f>
        <v>0.9727233600000001</v>
      </c>
      <c r="H156" s="85"/>
      <c r="I156" s="86">
        <f>E156*H156</f>
        <v>0</v>
      </c>
      <c r="J156" s="148" t="s">
        <v>250</v>
      </c>
    </row>
    <row r="157" spans="1:10" s="93" customFormat="1" ht="44.25" customHeight="1" outlineLevel="1">
      <c r="A157" s="99"/>
      <c r="B157" s="96"/>
      <c r="C157" s="287" t="s">
        <v>101</v>
      </c>
      <c r="D157" s="287"/>
      <c r="E157" s="116">
        <v>0</v>
      </c>
      <c r="F157" s="100"/>
      <c r="G157" s="101"/>
      <c r="H157" s="102"/>
      <c r="I157" s="98"/>
      <c r="J157" s="149"/>
    </row>
    <row r="158" spans="1:10" s="93" customFormat="1" ht="12.75" customHeight="1" outlineLevel="1">
      <c r="A158" s="99"/>
      <c r="B158" s="96"/>
      <c r="C158" s="112" t="s">
        <v>177</v>
      </c>
      <c r="D158" s="95"/>
      <c r="E158" s="88">
        <v>0</v>
      </c>
      <c r="F158" s="100"/>
      <c r="G158" s="101"/>
      <c r="H158" s="102"/>
      <c r="I158" s="98"/>
      <c r="J158" s="149"/>
    </row>
    <row r="159" spans="1:10" s="93" customFormat="1" ht="12.75" customHeight="1" outlineLevel="1">
      <c r="A159" s="99"/>
      <c r="B159" s="96"/>
      <c r="C159" s="112" t="s">
        <v>301</v>
      </c>
      <c r="D159" s="95"/>
      <c r="E159" s="88">
        <f>0.6*(0.44+0.3+3.46+2.35+22.24+1.2+18.84)</f>
        <v>29.298</v>
      </c>
      <c r="F159" s="100"/>
      <c r="G159" s="101"/>
      <c r="H159" s="102"/>
      <c r="I159" s="98"/>
      <c r="J159" s="149"/>
    </row>
    <row r="160" spans="1:10" s="93" customFormat="1" ht="12.75" customHeight="1" outlineLevel="1">
      <c r="A160" s="99"/>
      <c r="B160" s="96"/>
      <c r="C160" s="112" t="s">
        <v>178</v>
      </c>
      <c r="D160" s="95"/>
      <c r="E160" s="88">
        <v>0</v>
      </c>
      <c r="F160" s="100"/>
      <c r="G160" s="101"/>
      <c r="H160" s="102"/>
      <c r="I160" s="98"/>
      <c r="J160" s="149"/>
    </row>
    <row r="161" spans="1:10" s="93" customFormat="1" ht="12.75" customHeight="1" outlineLevel="1">
      <c r="A161" s="99"/>
      <c r="B161" s="96"/>
      <c r="C161" s="112" t="s">
        <v>302</v>
      </c>
      <c r="D161" s="95"/>
      <c r="E161" s="88">
        <f>0.6*(25.64+4.8+18.94)</f>
        <v>29.628</v>
      </c>
      <c r="F161" s="100"/>
      <c r="G161" s="101"/>
      <c r="H161" s="102"/>
      <c r="I161" s="98"/>
      <c r="J161" s="149"/>
    </row>
    <row r="162" spans="1:10" s="93" customFormat="1" ht="12.75" customHeight="1" outlineLevel="1">
      <c r="A162" s="99"/>
      <c r="B162" s="96"/>
      <c r="C162" s="112" t="s">
        <v>149</v>
      </c>
      <c r="D162" s="95"/>
      <c r="E162" s="88">
        <v>0</v>
      </c>
      <c r="F162" s="100"/>
      <c r="G162" s="101"/>
      <c r="H162" s="102"/>
      <c r="I162" s="98"/>
      <c r="J162" s="149"/>
    </row>
    <row r="163" spans="1:10" s="93" customFormat="1" ht="12.75" customHeight="1" outlineLevel="1">
      <c r="A163" s="99"/>
      <c r="B163" s="96"/>
      <c r="C163" s="112" t="s">
        <v>582</v>
      </c>
      <c r="D163" s="95"/>
      <c r="E163" s="88">
        <f>0.6*(12.85+0.3)+0.6*(6.08+0.68+0.3+7.45)</f>
        <v>16.596</v>
      </c>
      <c r="F163" s="100"/>
      <c r="G163" s="101"/>
      <c r="H163" s="102"/>
      <c r="I163" s="98"/>
      <c r="J163" s="149"/>
    </row>
    <row r="164" spans="1:10" s="93" customFormat="1" ht="25.5" customHeight="1">
      <c r="A164" s="163" t="s">
        <v>486</v>
      </c>
      <c r="B164" s="80" t="s">
        <v>307</v>
      </c>
      <c r="C164" s="81" t="s">
        <v>308</v>
      </c>
      <c r="D164" s="82" t="s">
        <v>72</v>
      </c>
      <c r="E164" s="83">
        <f>SUM(E165:E173)</f>
        <v>1351.3700000000001</v>
      </c>
      <c r="F164" s="84">
        <v>0.01525</v>
      </c>
      <c r="G164" s="101">
        <f>E164*F164</f>
        <v>20.6083925</v>
      </c>
      <c r="H164" s="85"/>
      <c r="I164" s="86">
        <f>E164*H164</f>
        <v>0</v>
      </c>
      <c r="J164" s="148" t="s">
        <v>250</v>
      </c>
    </row>
    <row r="165" spans="1:10" s="93" customFormat="1" ht="45.75" customHeight="1" outlineLevel="1">
      <c r="A165" s="99"/>
      <c r="B165" s="96"/>
      <c r="C165" s="287" t="s">
        <v>101</v>
      </c>
      <c r="D165" s="287"/>
      <c r="E165" s="116">
        <v>0</v>
      </c>
      <c r="F165" s="100"/>
      <c r="G165" s="101"/>
      <c r="H165" s="102"/>
      <c r="I165" s="98"/>
      <c r="J165" s="149"/>
    </row>
    <row r="166" spans="1:10" s="93" customFormat="1" ht="12.75" customHeight="1" outlineLevel="1">
      <c r="A166" s="99"/>
      <c r="B166" s="96"/>
      <c r="C166" s="112" t="s">
        <v>177</v>
      </c>
      <c r="D166" s="95"/>
      <c r="E166" s="88">
        <v>0</v>
      </c>
      <c r="F166" s="100"/>
      <c r="G166" s="101"/>
      <c r="H166" s="102"/>
      <c r="I166" s="98"/>
      <c r="J166" s="149"/>
    </row>
    <row r="167" spans="1:11" s="93" customFormat="1" ht="36" customHeight="1" outlineLevel="1">
      <c r="A167" s="99"/>
      <c r="B167" s="96"/>
      <c r="C167" s="112" t="s">
        <v>583</v>
      </c>
      <c r="D167" s="95"/>
      <c r="E167" s="88">
        <f>0.75*2*2.65*(47+61)+0.2*2.65*(60+74)+0.2*2.65*(60+74)+(0.75*2*21+0.75*2*18)*2+(0.75*2+0.2)*1.65*9+(0.75*2+0.2)*2.3*3+(0.75*2+0.2)*1.55*8</f>
        <v>746.395</v>
      </c>
      <c r="F167" s="100"/>
      <c r="G167" s="101"/>
      <c r="H167" s="102"/>
      <c r="I167" s="98"/>
      <c r="J167" s="149"/>
      <c r="K167" s="164"/>
    </row>
    <row r="168" spans="1:16" s="93" customFormat="1" ht="12.75" customHeight="1" outlineLevel="1">
      <c r="A168" s="99"/>
      <c r="B168" s="96"/>
      <c r="C168" s="112" t="s">
        <v>309</v>
      </c>
      <c r="D168" s="95"/>
      <c r="E168" s="88">
        <f>3.6*1.2*56</f>
        <v>241.92000000000002</v>
      </c>
      <c r="F168" s="100"/>
      <c r="G168" s="101"/>
      <c r="H168" s="102"/>
      <c r="I168" s="98"/>
      <c r="J168" s="149"/>
      <c r="P168" s="129"/>
    </row>
    <row r="169" spans="1:10" s="93" customFormat="1" ht="12.75" customHeight="1" outlineLevel="1">
      <c r="A169" s="99"/>
      <c r="B169" s="96"/>
      <c r="C169" s="112" t="s">
        <v>310</v>
      </c>
      <c r="D169" s="95"/>
      <c r="E169" s="88">
        <f>(18.03+0.3*2)*8*0.15+(7.2+0.3*2)*6*0.15</f>
        <v>29.376</v>
      </c>
      <c r="F169" s="100"/>
      <c r="G169" s="101"/>
      <c r="H169" s="102"/>
      <c r="I169" s="98"/>
      <c r="J169" s="149"/>
    </row>
    <row r="170" spans="1:10" s="93" customFormat="1" ht="12.75" customHeight="1" outlineLevel="1">
      <c r="A170" s="99"/>
      <c r="B170" s="96"/>
      <c r="C170" s="112" t="s">
        <v>178</v>
      </c>
      <c r="D170" s="95"/>
      <c r="E170" s="88">
        <v>0</v>
      </c>
      <c r="F170" s="100"/>
      <c r="G170" s="101"/>
      <c r="H170" s="102"/>
      <c r="I170" s="98"/>
      <c r="J170" s="149"/>
    </row>
    <row r="171" spans="1:10" s="93" customFormat="1" ht="12.75" customHeight="1" outlineLevel="1">
      <c r="A171" s="99"/>
      <c r="B171" s="96"/>
      <c r="C171" s="112" t="s">
        <v>591</v>
      </c>
      <c r="D171" s="95"/>
      <c r="E171" s="88">
        <f>0.55*3.46</f>
        <v>1.903</v>
      </c>
      <c r="F171" s="100"/>
      <c r="G171" s="101"/>
      <c r="H171" s="102"/>
      <c r="I171" s="98"/>
      <c r="J171" s="149"/>
    </row>
    <row r="172" spans="1:10" s="93" customFormat="1" ht="12.75" customHeight="1" outlineLevel="1">
      <c r="A172" s="99"/>
      <c r="B172" s="96"/>
      <c r="C172" s="112" t="s">
        <v>311</v>
      </c>
      <c r="D172" s="95"/>
      <c r="E172" s="88">
        <f>3.6*1.2*70</f>
        <v>302.40000000000003</v>
      </c>
      <c r="F172" s="100"/>
      <c r="G172" s="101"/>
      <c r="H172" s="102"/>
      <c r="I172" s="98"/>
      <c r="J172" s="149"/>
    </row>
    <row r="173" spans="1:10" s="93" customFormat="1" ht="12.75" customHeight="1" outlineLevel="1">
      <c r="A173" s="99"/>
      <c r="B173" s="96"/>
      <c r="C173" s="112" t="s">
        <v>310</v>
      </c>
      <c r="D173" s="95"/>
      <c r="E173" s="88">
        <f>(18.03+0.3*2)*8*0.15+(7.2+0.3*2)*6*0.15</f>
        <v>29.376</v>
      </c>
      <c r="F173" s="100"/>
      <c r="G173" s="101"/>
      <c r="H173" s="102"/>
      <c r="I173" s="98"/>
      <c r="J173" s="149"/>
    </row>
    <row r="174" spans="1:10" s="93" customFormat="1" ht="25.5" customHeight="1">
      <c r="A174" s="163" t="s">
        <v>487</v>
      </c>
      <c r="B174" s="80" t="s">
        <v>313</v>
      </c>
      <c r="C174" s="81" t="s">
        <v>312</v>
      </c>
      <c r="D174" s="82" t="s">
        <v>72</v>
      </c>
      <c r="E174" s="83">
        <f>SUM(E175:E198)</f>
        <v>2850.94835</v>
      </c>
      <c r="F174" s="84">
        <v>0.0177</v>
      </c>
      <c r="G174" s="101">
        <f>E174*F174</f>
        <v>50.461785795000004</v>
      </c>
      <c r="H174" s="85"/>
      <c r="I174" s="86">
        <f>E174*H174</f>
        <v>0</v>
      </c>
      <c r="J174" s="148" t="s">
        <v>250</v>
      </c>
    </row>
    <row r="175" spans="1:10" s="93" customFormat="1" ht="45.75" customHeight="1" outlineLevel="1">
      <c r="A175" s="99"/>
      <c r="B175" s="96"/>
      <c r="C175" s="287" t="s">
        <v>101</v>
      </c>
      <c r="D175" s="287"/>
      <c r="E175" s="116">
        <v>0</v>
      </c>
      <c r="F175" s="100"/>
      <c r="G175" s="101"/>
      <c r="H175" s="102"/>
      <c r="I175" s="98"/>
      <c r="J175" s="149"/>
    </row>
    <row r="176" spans="1:10" s="93" customFormat="1" ht="12.75" customHeight="1" outlineLevel="1">
      <c r="A176" s="99"/>
      <c r="B176" s="96"/>
      <c r="C176" s="112" t="s">
        <v>238</v>
      </c>
      <c r="D176" s="95"/>
      <c r="E176" s="88">
        <v>0</v>
      </c>
      <c r="F176" s="100"/>
      <c r="G176" s="101"/>
      <c r="H176" s="102"/>
      <c r="I176" s="98"/>
      <c r="J176" s="149"/>
    </row>
    <row r="177" spans="1:10" s="93" customFormat="1" ht="12.75" customHeight="1" outlineLevel="1">
      <c r="A177" s="99"/>
      <c r="B177" s="80"/>
      <c r="C177" s="112" t="s">
        <v>263</v>
      </c>
      <c r="D177" s="95"/>
      <c r="E177" s="88">
        <v>0</v>
      </c>
      <c r="F177" s="100"/>
      <c r="G177" s="101"/>
      <c r="H177" s="102"/>
      <c r="I177" s="98"/>
      <c r="J177" s="149"/>
    </row>
    <row r="178" spans="1:10" s="93" customFormat="1" ht="12.75" customHeight="1" outlineLevel="1">
      <c r="A178" s="99"/>
      <c r="B178" s="137" t="s">
        <v>176</v>
      </c>
      <c r="C178" s="112" t="s">
        <v>174</v>
      </c>
      <c r="D178" s="95"/>
      <c r="E178" s="88">
        <v>0</v>
      </c>
      <c r="F178" s="100"/>
      <c r="G178" s="101"/>
      <c r="H178" s="102"/>
      <c r="I178" s="98"/>
      <c r="J178" s="149"/>
    </row>
    <row r="179" spans="1:10" s="93" customFormat="1" ht="14.25" customHeight="1" outlineLevel="1">
      <c r="A179" s="99"/>
      <c r="B179" s="80"/>
      <c r="C179" s="112" t="s">
        <v>262</v>
      </c>
      <c r="D179" s="95"/>
      <c r="E179" s="88">
        <f>(0.44+0.3+3.46+2.35+22.24+1.2+18.84+(1.2*2+1.2)*9)*21.92+3*2*1.2</f>
        <v>1787.7616</v>
      </c>
      <c r="F179" s="100"/>
      <c r="G179" s="101"/>
      <c r="H179" s="102"/>
      <c r="I179" s="98"/>
      <c r="J179" s="149"/>
    </row>
    <row r="180" spans="1:10" s="93" customFormat="1" ht="12.75" customHeight="1" outlineLevel="1">
      <c r="A180" s="99"/>
      <c r="B180" s="96"/>
      <c r="C180" s="112" t="s">
        <v>175</v>
      </c>
      <c r="D180" s="95"/>
      <c r="E180" s="88">
        <v>0</v>
      </c>
      <c r="F180" s="100"/>
      <c r="G180" s="101"/>
      <c r="H180" s="102"/>
      <c r="I180" s="98"/>
      <c r="J180" s="149"/>
    </row>
    <row r="181" spans="1:10" s="93" customFormat="1" ht="21.75" customHeight="1" outlineLevel="1">
      <c r="A181" s="99"/>
      <c r="B181" s="96"/>
      <c r="C181" s="112" t="s">
        <v>603</v>
      </c>
      <c r="D181" s="95"/>
      <c r="E181" s="88">
        <f>-1*(1*0.65*6+0.9*1.6*8+2.1*1.6*28+1.2*1.6*49+0.9*2.35*49+2.35*1.25*7)</f>
        <v>-327.77750000000003</v>
      </c>
      <c r="F181" s="100"/>
      <c r="G181" s="101"/>
      <c r="H181" s="102"/>
      <c r="I181" s="98"/>
      <c r="J181" s="149"/>
    </row>
    <row r="182" spans="1:10" s="93" customFormat="1" ht="12.75" customHeight="1" outlineLevel="1">
      <c r="A182" s="99"/>
      <c r="B182" s="80"/>
      <c r="C182" s="112" t="s">
        <v>264</v>
      </c>
      <c r="D182" s="95"/>
      <c r="E182" s="88">
        <v>0</v>
      </c>
      <c r="F182" s="100"/>
      <c r="G182" s="101"/>
      <c r="H182" s="102"/>
      <c r="I182" s="98"/>
      <c r="J182" s="149"/>
    </row>
    <row r="183" spans="1:10" s="93" customFormat="1" ht="12.75" customHeight="1" outlineLevel="1">
      <c r="A183" s="99"/>
      <c r="B183" s="137" t="s">
        <v>176</v>
      </c>
      <c r="C183" s="112" t="s">
        <v>174</v>
      </c>
      <c r="D183" s="95"/>
      <c r="E183" s="88">
        <v>0</v>
      </c>
      <c r="F183" s="100"/>
      <c r="G183" s="101"/>
      <c r="H183" s="102"/>
      <c r="I183" s="98"/>
      <c r="J183" s="149"/>
    </row>
    <row r="184" spans="1:10" s="93" customFormat="1" ht="12.75" customHeight="1" outlineLevel="1">
      <c r="A184" s="99"/>
      <c r="B184" s="80"/>
      <c r="C184" s="112" t="s">
        <v>265</v>
      </c>
      <c r="D184" s="95"/>
      <c r="E184" s="88">
        <f>(25.64+4.8+18.94+2.35+0.3)*22.05+3*2*1.2</f>
        <v>1154.4615000000001</v>
      </c>
      <c r="F184" s="100"/>
      <c r="G184" s="101"/>
      <c r="H184" s="102"/>
      <c r="I184" s="98"/>
      <c r="J184" s="149"/>
    </row>
    <row r="185" spans="1:10" s="93" customFormat="1" ht="12.75" customHeight="1" outlineLevel="1">
      <c r="A185" s="99"/>
      <c r="B185" s="96"/>
      <c r="C185" s="112" t="s">
        <v>175</v>
      </c>
      <c r="D185" s="95"/>
      <c r="E185" s="88">
        <v>0</v>
      </c>
      <c r="F185" s="100"/>
      <c r="G185" s="101"/>
      <c r="H185" s="102"/>
      <c r="I185" s="98"/>
      <c r="J185" s="149"/>
    </row>
    <row r="186" spans="1:10" s="93" customFormat="1" ht="12.75" customHeight="1" outlineLevel="1">
      <c r="A186" s="99"/>
      <c r="B186" s="96"/>
      <c r="C186" s="112" t="s">
        <v>604</v>
      </c>
      <c r="D186" s="95"/>
      <c r="E186" s="88">
        <f>(1*0.65*7+2.1*1.6*18+2.35*1.25*6+(1.52*1.6+0.9*2.35)*63+2.35*2.2)*-1</f>
        <v>-374.286</v>
      </c>
      <c r="F186" s="100"/>
      <c r="G186" s="101"/>
      <c r="H186" s="102"/>
      <c r="I186" s="98"/>
      <c r="J186" s="149"/>
    </row>
    <row r="187" spans="1:10" s="93" customFormat="1" ht="12.75" customHeight="1" outlineLevel="1">
      <c r="A187" s="99"/>
      <c r="B187" s="137"/>
      <c r="C187" s="112" t="s">
        <v>271</v>
      </c>
      <c r="D187" s="95"/>
      <c r="E187" s="88">
        <v>0</v>
      </c>
      <c r="F187" s="100"/>
      <c r="G187" s="101"/>
      <c r="H187" s="102"/>
      <c r="I187" s="98"/>
      <c r="J187" s="149"/>
    </row>
    <row r="188" spans="1:10" s="93" customFormat="1" ht="12.75" customHeight="1" outlineLevel="1">
      <c r="A188" s="99"/>
      <c r="B188" s="137" t="s">
        <v>176</v>
      </c>
      <c r="C188" s="112" t="s">
        <v>174</v>
      </c>
      <c r="D188" s="95"/>
      <c r="E188" s="88">
        <v>0</v>
      </c>
      <c r="F188" s="100"/>
      <c r="G188" s="101"/>
      <c r="H188" s="102"/>
      <c r="I188" s="98"/>
      <c r="J188" s="149"/>
    </row>
    <row r="189" spans="1:10" s="93" customFormat="1" ht="12.75" customHeight="1" outlineLevel="1">
      <c r="A189" s="99"/>
      <c r="B189" s="80"/>
      <c r="C189" s="112" t="s">
        <v>581</v>
      </c>
      <c r="D189" s="95"/>
      <c r="E189" s="88">
        <f>(9+0.3+7.45)*20.6</f>
        <v>345.05</v>
      </c>
      <c r="F189" s="100"/>
      <c r="G189" s="101"/>
      <c r="H189" s="102"/>
      <c r="I189" s="98"/>
      <c r="J189" s="149"/>
    </row>
    <row r="190" spans="1:10" s="93" customFormat="1" ht="12.75" customHeight="1" outlineLevel="1">
      <c r="A190" s="99"/>
      <c r="B190" s="80"/>
      <c r="C190" s="112" t="s">
        <v>175</v>
      </c>
      <c r="D190" s="95"/>
      <c r="E190" s="88">
        <v>0</v>
      </c>
      <c r="F190" s="100"/>
      <c r="G190" s="101"/>
      <c r="H190" s="102"/>
      <c r="I190" s="98"/>
      <c r="J190" s="149"/>
    </row>
    <row r="191" spans="1:10" s="93" customFormat="1" ht="12.75" customHeight="1" outlineLevel="1">
      <c r="A191" s="99"/>
      <c r="B191" s="80"/>
      <c r="C191" s="112" t="s">
        <v>274</v>
      </c>
      <c r="D191" s="95"/>
      <c r="E191" s="88">
        <f>(0.9*1.6*6+2.2*1.8)*-1</f>
        <v>-12.600000000000001</v>
      </c>
      <c r="F191" s="100"/>
      <c r="G191" s="101"/>
      <c r="H191" s="102"/>
      <c r="I191" s="98"/>
      <c r="J191" s="149"/>
    </row>
    <row r="192" spans="1:10" s="93" customFormat="1" ht="12.75" customHeight="1" outlineLevel="1">
      <c r="A192" s="99"/>
      <c r="B192" s="137"/>
      <c r="C192" s="112" t="s">
        <v>275</v>
      </c>
      <c r="D192" s="95"/>
      <c r="E192" s="88">
        <v>0</v>
      </c>
      <c r="F192" s="100"/>
      <c r="G192" s="101"/>
      <c r="H192" s="102"/>
      <c r="I192" s="98"/>
      <c r="J192" s="149"/>
    </row>
    <row r="193" spans="1:10" s="93" customFormat="1" ht="12.75" customHeight="1" outlineLevel="1">
      <c r="A193" s="99"/>
      <c r="B193" s="137" t="s">
        <v>176</v>
      </c>
      <c r="C193" s="112" t="s">
        <v>174</v>
      </c>
      <c r="D193" s="95"/>
      <c r="E193" s="88">
        <v>0</v>
      </c>
      <c r="F193" s="100"/>
      <c r="G193" s="101"/>
      <c r="H193" s="102"/>
      <c r="I193" s="98"/>
      <c r="J193" s="149"/>
    </row>
    <row r="194" spans="1:10" s="93" customFormat="1" ht="12.75" customHeight="1" outlineLevel="1">
      <c r="A194" s="99"/>
      <c r="B194" s="80"/>
      <c r="C194" s="112" t="s">
        <v>276</v>
      </c>
      <c r="D194" s="95"/>
      <c r="E194" s="88">
        <f>(12.85+0.3)*13.025</f>
        <v>171.27875</v>
      </c>
      <c r="F194" s="100"/>
      <c r="G194" s="101"/>
      <c r="H194" s="102"/>
      <c r="I194" s="98"/>
      <c r="J194" s="149"/>
    </row>
    <row r="195" spans="1:10" s="93" customFormat="1" ht="12.75" customHeight="1" outlineLevel="1">
      <c r="A195" s="99"/>
      <c r="B195" s="80"/>
      <c r="C195" s="112" t="s">
        <v>175</v>
      </c>
      <c r="D195" s="95"/>
      <c r="E195" s="88">
        <v>0</v>
      </c>
      <c r="F195" s="100"/>
      <c r="G195" s="101"/>
      <c r="H195" s="102"/>
      <c r="I195" s="98"/>
      <c r="J195" s="149"/>
    </row>
    <row r="196" spans="1:10" s="93" customFormat="1" ht="12.75" customHeight="1" outlineLevel="1">
      <c r="A196" s="99"/>
      <c r="B196" s="80"/>
      <c r="C196" s="112" t="s">
        <v>278</v>
      </c>
      <c r="D196" s="95"/>
      <c r="E196" s="88">
        <f>(0.9*1.6*4)*-1</f>
        <v>-5.760000000000001</v>
      </c>
      <c r="F196" s="100"/>
      <c r="G196" s="101"/>
      <c r="H196" s="102"/>
      <c r="I196" s="98"/>
      <c r="J196" s="149"/>
    </row>
    <row r="197" spans="1:10" s="93" customFormat="1" ht="12.75" customHeight="1" outlineLevel="1">
      <c r="A197" s="99"/>
      <c r="B197" s="165" t="s">
        <v>596</v>
      </c>
      <c r="C197" s="112" t="s">
        <v>597</v>
      </c>
      <c r="D197" s="95"/>
      <c r="E197" s="88">
        <f>7.3*1.3*2</f>
        <v>18.98</v>
      </c>
      <c r="F197" s="100"/>
      <c r="G197" s="101"/>
      <c r="H197" s="102"/>
      <c r="I197" s="98"/>
      <c r="J197" s="149"/>
    </row>
    <row r="198" spans="1:10" s="93" customFormat="1" ht="12.75" customHeight="1" outlineLevel="1">
      <c r="A198" s="99"/>
      <c r="B198" s="137" t="s">
        <v>279</v>
      </c>
      <c r="C198" s="112" t="s">
        <v>280</v>
      </c>
      <c r="D198" s="95"/>
      <c r="E198" s="139">
        <f>3.45*(9.35*2+4.25*2)</f>
        <v>93.84</v>
      </c>
      <c r="F198" s="100"/>
      <c r="G198" s="101"/>
      <c r="H198" s="102"/>
      <c r="I198" s="98"/>
      <c r="J198" s="149"/>
    </row>
    <row r="199" spans="1:10" s="93" customFormat="1" ht="12.75" customHeight="1">
      <c r="A199" s="163" t="s">
        <v>598</v>
      </c>
      <c r="B199" s="80" t="s">
        <v>593</v>
      </c>
      <c r="C199" s="81" t="s">
        <v>594</v>
      </c>
      <c r="D199" s="82" t="s">
        <v>72</v>
      </c>
      <c r="E199" s="83">
        <f>SUM(E200)</f>
        <v>18.98</v>
      </c>
      <c r="F199" s="84">
        <v>0.01525</v>
      </c>
      <c r="G199" s="101">
        <f>E199*F199</f>
        <v>0.289445</v>
      </c>
      <c r="H199" s="85"/>
      <c r="I199" s="86">
        <f>E199*H199</f>
        <v>0</v>
      </c>
      <c r="J199" s="148" t="s">
        <v>250</v>
      </c>
    </row>
    <row r="200" spans="1:10" s="93" customFormat="1" ht="12.75" customHeight="1" outlineLevel="1">
      <c r="A200" s="99"/>
      <c r="B200" s="96"/>
      <c r="C200" s="112" t="s">
        <v>595</v>
      </c>
      <c r="D200" s="95"/>
      <c r="E200" s="88">
        <f>7.3*1.3*2</f>
        <v>18.98</v>
      </c>
      <c r="F200" s="100"/>
      <c r="G200" s="101"/>
      <c r="H200" s="102"/>
      <c r="I200" s="98"/>
      <c r="J200" s="149"/>
    </row>
    <row r="201" spans="1:10" s="93" customFormat="1" ht="12.75" customHeight="1">
      <c r="A201" s="163" t="s">
        <v>488</v>
      </c>
      <c r="B201" s="80" t="s">
        <v>434</v>
      </c>
      <c r="C201" s="81" t="s">
        <v>435</v>
      </c>
      <c r="D201" s="82" t="s">
        <v>72</v>
      </c>
      <c r="E201" s="83">
        <f>SUM(E202:E202)</f>
        <v>2100.2075</v>
      </c>
      <c r="F201" s="84">
        <v>0</v>
      </c>
      <c r="G201" s="101">
        <f>E201*F201</f>
        <v>0</v>
      </c>
      <c r="H201" s="85"/>
      <c r="I201" s="86">
        <f>E201*H201</f>
        <v>0</v>
      </c>
      <c r="J201" s="148" t="s">
        <v>250</v>
      </c>
    </row>
    <row r="202" spans="1:10" s="93" customFormat="1" ht="12.75" customHeight="1" outlineLevel="1">
      <c r="A202" s="99"/>
      <c r="B202" s="96"/>
      <c r="C202" s="112" t="s">
        <v>605</v>
      </c>
      <c r="D202" s="95"/>
      <c r="E202" s="88">
        <f>(2850.948+1349.467)/2</f>
        <v>2100.2075</v>
      </c>
      <c r="F202" s="100"/>
      <c r="G202" s="101"/>
      <c r="H202" s="102"/>
      <c r="I202" s="98"/>
      <c r="J202" s="149"/>
    </row>
    <row r="203" spans="1:10" s="93" customFormat="1" ht="24" customHeight="1">
      <c r="A203" s="99" t="s">
        <v>489</v>
      </c>
      <c r="B203" s="80" t="s">
        <v>242</v>
      </c>
      <c r="C203" s="81" t="s">
        <v>320</v>
      </c>
      <c r="D203" s="82" t="s">
        <v>72</v>
      </c>
      <c r="E203" s="83">
        <f>SUM(E204:E213)</f>
        <v>429.4416000000001</v>
      </c>
      <c r="F203" s="84">
        <v>0.01042</v>
      </c>
      <c r="G203" s="101">
        <f>E203*F203</f>
        <v>4.474781472000001</v>
      </c>
      <c r="H203" s="85"/>
      <c r="I203" s="86">
        <f>E203*H203</f>
        <v>0</v>
      </c>
      <c r="J203" s="148" t="s">
        <v>250</v>
      </c>
    </row>
    <row r="204" spans="1:10" s="93" customFormat="1" ht="34.5" customHeight="1" outlineLevel="1">
      <c r="A204" s="99"/>
      <c r="B204" s="96"/>
      <c r="C204" s="287" t="s">
        <v>314</v>
      </c>
      <c r="D204" s="287"/>
      <c r="E204" s="116">
        <v>0</v>
      </c>
      <c r="F204" s="100"/>
      <c r="G204" s="101"/>
      <c r="H204" s="102"/>
      <c r="I204" s="98"/>
      <c r="J204" s="149"/>
    </row>
    <row r="205" spans="1:10" s="93" customFormat="1" ht="12.75" customHeight="1" outlineLevel="1">
      <c r="A205" s="99"/>
      <c r="B205" s="96"/>
      <c r="C205" s="112" t="s">
        <v>315</v>
      </c>
      <c r="D205" s="87"/>
      <c r="E205" s="88">
        <v>0</v>
      </c>
      <c r="F205" s="100"/>
      <c r="G205" s="101"/>
      <c r="H205" s="102"/>
      <c r="I205" s="98"/>
      <c r="J205" s="149"/>
    </row>
    <row r="206" spans="1:10" s="93" customFormat="1" ht="12.75" customHeight="1" outlineLevel="1">
      <c r="A206" s="99"/>
      <c r="B206" s="96"/>
      <c r="C206" s="112" t="s">
        <v>98</v>
      </c>
      <c r="D206" s="95"/>
      <c r="E206" s="88">
        <v>0</v>
      </c>
      <c r="F206" s="100"/>
      <c r="G206" s="101"/>
      <c r="H206" s="102"/>
      <c r="I206" s="98"/>
      <c r="J206" s="149"/>
    </row>
    <row r="207" spans="1:10" s="93" customFormat="1" ht="25.5" customHeight="1" outlineLevel="1">
      <c r="A207" s="99"/>
      <c r="B207" s="96"/>
      <c r="C207" s="112" t="s">
        <v>316</v>
      </c>
      <c r="D207" s="95"/>
      <c r="E207" s="88">
        <f>((1+2*0.65)*6+(0.9+1.6*2)*8+(2.1+1.6*2)*25+(1.2+1.6*2)*49+(0.9+2.35*2)*49+(2.35+1.5*2)*7)*0.28</f>
        <v>197.83400000000006</v>
      </c>
      <c r="F207" s="100"/>
      <c r="G207" s="101"/>
      <c r="H207" s="102"/>
      <c r="I207" s="98"/>
      <c r="J207" s="149"/>
    </row>
    <row r="208" spans="1:10" s="93" customFormat="1" ht="12.75" customHeight="1" outlineLevel="1">
      <c r="A208" s="99"/>
      <c r="B208" s="96"/>
      <c r="C208" s="112" t="s">
        <v>98</v>
      </c>
      <c r="D208" s="95"/>
      <c r="E208" s="88">
        <v>0</v>
      </c>
      <c r="F208" s="100"/>
      <c r="G208" s="101"/>
      <c r="H208" s="102"/>
      <c r="I208" s="98"/>
      <c r="J208" s="149"/>
    </row>
    <row r="209" spans="1:10" s="93" customFormat="1" ht="24.75" customHeight="1" outlineLevel="1">
      <c r="A209" s="99"/>
      <c r="B209" s="96"/>
      <c r="C209" s="112" t="s">
        <v>317</v>
      </c>
      <c r="D209" s="95"/>
      <c r="E209" s="88">
        <f>((1+0.65*2)*7+(2.1+1.6*2)*18+(2.35+1.6*2)*6+(1.2+1.6*2)*63+(0.9+2.35*2)*63+2.35*2.2)*0.28</f>
        <v>218.39160000000004</v>
      </c>
      <c r="F209" s="100"/>
      <c r="G209" s="101"/>
      <c r="H209" s="102"/>
      <c r="I209" s="98"/>
      <c r="J209" s="149"/>
    </row>
    <row r="210" spans="1:10" s="93" customFormat="1" ht="12.75" customHeight="1" outlineLevel="1">
      <c r="A210" s="99"/>
      <c r="B210" s="96"/>
      <c r="C210" s="112" t="s">
        <v>271</v>
      </c>
      <c r="D210" s="95"/>
      <c r="E210" s="88">
        <v>0</v>
      </c>
      <c r="F210" s="100"/>
      <c r="G210" s="101"/>
      <c r="H210" s="102"/>
      <c r="I210" s="98"/>
      <c r="J210" s="149"/>
    </row>
    <row r="211" spans="1:10" s="93" customFormat="1" ht="12.75" customHeight="1" outlineLevel="1">
      <c r="A211" s="99"/>
      <c r="B211" s="96"/>
      <c r="C211" s="112" t="s">
        <v>318</v>
      </c>
      <c r="D211" s="95"/>
      <c r="E211" s="88">
        <f>((0.9+1.6*2)*6+1.8+2.2*2)*0.28</f>
        <v>8.624000000000002</v>
      </c>
      <c r="F211" s="100"/>
      <c r="G211" s="101"/>
      <c r="H211" s="102"/>
      <c r="I211" s="98"/>
      <c r="J211" s="149"/>
    </row>
    <row r="212" spans="1:10" s="93" customFormat="1" ht="12.75" customHeight="1" outlineLevel="1">
      <c r="A212" s="99"/>
      <c r="B212" s="96"/>
      <c r="C212" s="112" t="s">
        <v>275</v>
      </c>
      <c r="D212" s="95"/>
      <c r="E212" s="88">
        <v>0</v>
      </c>
      <c r="F212" s="100"/>
      <c r="G212" s="101"/>
      <c r="H212" s="102"/>
      <c r="I212" s="98"/>
      <c r="J212" s="149"/>
    </row>
    <row r="213" spans="1:10" s="93" customFormat="1" ht="12.75" customHeight="1" outlineLevel="1">
      <c r="A213" s="99"/>
      <c r="B213" s="96"/>
      <c r="C213" s="112" t="s">
        <v>319</v>
      </c>
      <c r="D213" s="95"/>
      <c r="E213" s="88">
        <f>(0.9+1.6*2)*4*0.28</f>
        <v>4.592000000000001</v>
      </c>
      <c r="F213" s="100"/>
      <c r="G213" s="101"/>
      <c r="H213" s="102"/>
      <c r="I213" s="98"/>
      <c r="J213" s="149"/>
    </row>
    <row r="214" spans="1:10" s="93" customFormat="1" ht="12.75" customHeight="1">
      <c r="A214" s="99" t="s">
        <v>490</v>
      </c>
      <c r="B214" s="80" t="s">
        <v>239</v>
      </c>
      <c r="C214" s="81" t="s">
        <v>243</v>
      </c>
      <c r="D214" s="82" t="s">
        <v>74</v>
      </c>
      <c r="E214" s="83">
        <f>SUM(E215:E216)</f>
        <v>44.55</v>
      </c>
      <c r="F214" s="84">
        <v>0.01</v>
      </c>
      <c r="G214" s="101">
        <f>E214*F214</f>
        <v>0.4455</v>
      </c>
      <c r="H214" s="85"/>
      <c r="I214" s="86">
        <f>E214*H214</f>
        <v>0</v>
      </c>
      <c r="J214" s="148" t="s">
        <v>89</v>
      </c>
    </row>
    <row r="215" spans="1:10" s="93" customFormat="1" ht="24" customHeight="1" outlineLevel="1">
      <c r="A215" s="99"/>
      <c r="B215" s="96"/>
      <c r="C215" s="112" t="s">
        <v>240</v>
      </c>
      <c r="D215" s="134"/>
      <c r="E215" s="116">
        <v>0</v>
      </c>
      <c r="F215" s="100"/>
      <c r="G215" s="101"/>
      <c r="H215" s="102"/>
      <c r="I215" s="98"/>
      <c r="J215" s="149"/>
    </row>
    <row r="216" spans="1:10" s="93" customFormat="1" ht="12.75" customHeight="1" outlineLevel="1">
      <c r="A216" s="99"/>
      <c r="B216" s="96"/>
      <c r="C216" s="112" t="s">
        <v>321</v>
      </c>
      <c r="D216" s="133"/>
      <c r="E216" s="88">
        <f>22.05+22.5</f>
        <v>44.55</v>
      </c>
      <c r="F216" s="100"/>
      <c r="G216" s="101"/>
      <c r="H216" s="102"/>
      <c r="I216" s="98"/>
      <c r="J216" s="149"/>
    </row>
    <row r="217" spans="1:10" s="93" customFormat="1" ht="23.25" customHeight="1">
      <c r="A217" s="99" t="s">
        <v>491</v>
      </c>
      <c r="B217" s="80" t="s">
        <v>140</v>
      </c>
      <c r="C217" s="81" t="s">
        <v>155</v>
      </c>
      <c r="D217" s="82" t="s">
        <v>72</v>
      </c>
      <c r="E217" s="83">
        <f>SUM(E218:E224)</f>
        <v>70.902</v>
      </c>
      <c r="F217" s="84">
        <v>0.0194</v>
      </c>
      <c r="G217" s="101">
        <f>E217*F217</f>
        <v>1.3754988000000001</v>
      </c>
      <c r="H217" s="85"/>
      <c r="I217" s="86">
        <f>E217*H217</f>
        <v>0</v>
      </c>
      <c r="J217" s="148" t="s">
        <v>89</v>
      </c>
    </row>
    <row r="218" spans="1:10" s="93" customFormat="1" ht="12.75" customHeight="1" outlineLevel="1">
      <c r="A218" s="99"/>
      <c r="B218" s="96"/>
      <c r="C218" s="112" t="s">
        <v>141</v>
      </c>
      <c r="D218" s="134"/>
      <c r="E218" s="116">
        <v>0</v>
      </c>
      <c r="F218" s="100"/>
      <c r="G218" s="101"/>
      <c r="H218" s="102"/>
      <c r="I218" s="98"/>
      <c r="J218" s="149"/>
    </row>
    <row r="219" spans="1:10" s="93" customFormat="1" ht="12.75" customHeight="1" outlineLevel="1">
      <c r="A219" s="99"/>
      <c r="B219" s="96"/>
      <c r="C219" s="112" t="s">
        <v>123</v>
      </c>
      <c r="D219" s="95"/>
      <c r="E219" s="88">
        <v>0</v>
      </c>
      <c r="F219" s="100"/>
      <c r="G219" s="101"/>
      <c r="H219" s="102"/>
      <c r="I219" s="98"/>
      <c r="J219" s="149"/>
    </row>
    <row r="220" spans="1:10" s="93" customFormat="1" ht="12.75" customHeight="1" outlineLevel="1">
      <c r="A220" s="99"/>
      <c r="B220" s="96"/>
      <c r="C220" s="112" t="s">
        <v>322</v>
      </c>
      <c r="D220" s="95"/>
      <c r="E220" s="88">
        <f>(1*6+0.9*8+2.1*28+2.1*49+2.35*7)*0.18</f>
        <v>34.443</v>
      </c>
      <c r="F220" s="100"/>
      <c r="G220" s="101"/>
      <c r="H220" s="102"/>
      <c r="I220" s="98"/>
      <c r="J220" s="149"/>
    </row>
    <row r="221" spans="1:10" s="93" customFormat="1" ht="12.75" customHeight="1" outlineLevel="1">
      <c r="A221" s="99"/>
      <c r="B221" s="96"/>
      <c r="C221" s="112" t="s">
        <v>124</v>
      </c>
      <c r="D221" s="95"/>
      <c r="E221" s="88">
        <v>0</v>
      </c>
      <c r="F221" s="100"/>
      <c r="G221" s="101"/>
      <c r="H221" s="102"/>
      <c r="I221" s="98"/>
      <c r="J221" s="149"/>
    </row>
    <row r="222" spans="1:10" s="93" customFormat="1" ht="12.75" customHeight="1" outlineLevel="1">
      <c r="A222" s="99"/>
      <c r="B222" s="96"/>
      <c r="C222" s="112" t="s">
        <v>323</v>
      </c>
      <c r="D222" s="95"/>
      <c r="E222" s="88">
        <f>(1*7+2.1*18+2.35*6+2.1*63+2.35)*0.18</f>
        <v>34.839</v>
      </c>
      <c r="F222" s="100"/>
      <c r="G222" s="101"/>
      <c r="H222" s="102"/>
      <c r="I222" s="98"/>
      <c r="J222" s="149"/>
    </row>
    <row r="223" spans="1:10" s="93" customFormat="1" ht="12.75" customHeight="1" outlineLevel="1">
      <c r="A223" s="99"/>
      <c r="B223" s="96"/>
      <c r="C223" s="112" t="s">
        <v>324</v>
      </c>
      <c r="D223" s="133"/>
      <c r="E223" s="88">
        <f>0.9*(6+4)*0.18</f>
        <v>1.6199999999999999</v>
      </c>
      <c r="F223" s="100"/>
      <c r="G223" s="101"/>
      <c r="H223" s="102"/>
      <c r="I223" s="98"/>
      <c r="J223" s="149"/>
    </row>
    <row r="224" spans="1:10" s="93" customFormat="1" ht="12.75" customHeight="1" outlineLevel="1">
      <c r="A224" s="99"/>
      <c r="B224" s="96"/>
      <c r="C224" s="112" t="s">
        <v>162</v>
      </c>
      <c r="D224" s="133"/>
      <c r="E224" s="88">
        <v>0</v>
      </c>
      <c r="F224" s="100"/>
      <c r="G224" s="101"/>
      <c r="H224" s="102"/>
      <c r="I224" s="98"/>
      <c r="J224" s="149"/>
    </row>
    <row r="225" spans="1:10" s="93" customFormat="1" ht="12.75" customHeight="1">
      <c r="A225" s="163" t="s">
        <v>492</v>
      </c>
      <c r="B225" s="80" t="s">
        <v>328</v>
      </c>
      <c r="C225" s="81" t="s">
        <v>329</v>
      </c>
      <c r="D225" s="82" t="s">
        <v>72</v>
      </c>
      <c r="E225" s="83">
        <f>SUM(E226:E261)</f>
        <v>4740.440750000001</v>
      </c>
      <c r="F225" s="84">
        <v>3.5E-05</v>
      </c>
      <c r="G225" s="101">
        <f>E225*F225</f>
        <v>0.16591542625</v>
      </c>
      <c r="H225" s="85"/>
      <c r="I225" s="86">
        <f>E225*H225</f>
        <v>0</v>
      </c>
      <c r="J225" s="148" t="s">
        <v>250</v>
      </c>
    </row>
    <row r="226" spans="1:10" s="93" customFormat="1" ht="12.75" customHeight="1" outlineLevel="1">
      <c r="A226" s="99"/>
      <c r="B226" s="80"/>
      <c r="C226" s="112" t="s">
        <v>263</v>
      </c>
      <c r="D226" s="95"/>
      <c r="E226" s="88">
        <v>0</v>
      </c>
      <c r="F226" s="100"/>
      <c r="G226" s="101"/>
      <c r="H226" s="102"/>
      <c r="I226" s="98"/>
      <c r="J226" s="149"/>
    </row>
    <row r="227" spans="1:10" s="93" customFormat="1" ht="12.75" customHeight="1" outlineLevel="1">
      <c r="A227" s="99"/>
      <c r="B227" s="137" t="s">
        <v>176</v>
      </c>
      <c r="C227" s="112" t="s">
        <v>174</v>
      </c>
      <c r="D227" s="95"/>
      <c r="E227" s="88">
        <v>0</v>
      </c>
      <c r="F227" s="100"/>
      <c r="G227" s="101"/>
      <c r="H227" s="102"/>
      <c r="I227" s="98"/>
      <c r="J227" s="149"/>
    </row>
    <row r="228" spans="1:10" s="93" customFormat="1" ht="12.75" customHeight="1" outlineLevel="1">
      <c r="A228" s="99"/>
      <c r="B228" s="80"/>
      <c r="C228" s="112" t="s">
        <v>262</v>
      </c>
      <c r="D228" s="95"/>
      <c r="E228" s="88">
        <f>(0.44+0.3+3.46+2.35+22.24+1.2+18.84+(1.2*2+1.2)*9)*21.92+3*2*1.2</f>
        <v>1787.7616</v>
      </c>
      <c r="F228" s="100"/>
      <c r="G228" s="101"/>
      <c r="H228" s="102"/>
      <c r="I228" s="98"/>
      <c r="J228" s="149"/>
    </row>
    <row r="229" spans="1:10" s="93" customFormat="1" ht="17.25" customHeight="1" outlineLevel="1">
      <c r="A229" s="99"/>
      <c r="B229" s="80"/>
      <c r="C229" s="112" t="s">
        <v>98</v>
      </c>
      <c r="D229" s="95"/>
      <c r="E229" s="88">
        <v>0</v>
      </c>
      <c r="F229" s="100"/>
      <c r="G229" s="101"/>
      <c r="H229" s="102"/>
      <c r="I229" s="98"/>
      <c r="J229" s="149"/>
    </row>
    <row r="230" spans="1:10" s="93" customFormat="1" ht="12.75" customHeight="1" outlineLevel="1">
      <c r="A230" s="99"/>
      <c r="B230" s="80"/>
      <c r="C230" s="112" t="s">
        <v>316</v>
      </c>
      <c r="D230" s="95"/>
      <c r="E230" s="88">
        <f>((1+2*0.65)*6+(0.9+1.6*2)*8+(2.1+1.6*2)*25+(1.2+1.6*2)*49+(0.9+2.35*2)*49+(2.35+1.5*2)*7)*0.28</f>
        <v>197.83400000000006</v>
      </c>
      <c r="F230" s="100"/>
      <c r="G230" s="101"/>
      <c r="H230" s="102"/>
      <c r="I230" s="98"/>
      <c r="J230" s="149"/>
    </row>
    <row r="231" spans="1:10" s="93" customFormat="1" ht="12.75" customHeight="1" outlineLevel="1">
      <c r="A231" s="99"/>
      <c r="B231" s="80"/>
      <c r="C231" s="112" t="s">
        <v>175</v>
      </c>
      <c r="D231" s="95"/>
      <c r="E231" s="88">
        <v>0</v>
      </c>
      <c r="F231" s="100"/>
      <c r="G231" s="101"/>
      <c r="H231" s="102"/>
      <c r="I231" s="98"/>
      <c r="J231" s="149"/>
    </row>
    <row r="232" spans="1:10" s="93" customFormat="1" ht="24" customHeight="1" outlineLevel="1">
      <c r="A232" s="99"/>
      <c r="B232" s="80"/>
      <c r="C232" s="112" t="s">
        <v>603</v>
      </c>
      <c r="D232" s="95"/>
      <c r="E232" s="88">
        <f>(1*0.65*6+0.9*1.6*8+2.1*1.6*28+1.2*1.6*49+0.9*2.35*49+2.35*1.25*7)*-1</f>
        <v>-327.77750000000003</v>
      </c>
      <c r="F232" s="100"/>
      <c r="G232" s="101"/>
      <c r="H232" s="102"/>
      <c r="I232" s="98"/>
      <c r="J232" s="149"/>
    </row>
    <row r="233" spans="1:10" s="93" customFormat="1" ht="12.75" customHeight="1" outlineLevel="1">
      <c r="A233" s="99"/>
      <c r="B233" s="137" t="s">
        <v>256</v>
      </c>
      <c r="C233" s="112" t="s">
        <v>257</v>
      </c>
      <c r="D233" s="95"/>
      <c r="E233" s="88">
        <f>(1*2+0.2)*2.62*60+(1*2+0.2)*1.65*9</f>
        <v>378.5100000000001</v>
      </c>
      <c r="F233" s="100"/>
      <c r="G233" s="101"/>
      <c r="H233" s="102"/>
      <c r="I233" s="98"/>
      <c r="J233" s="149"/>
    </row>
    <row r="234" spans="1:10" s="93" customFormat="1" ht="12.75" customHeight="1" outlineLevel="1">
      <c r="A234" s="99"/>
      <c r="B234" s="137" t="s">
        <v>258</v>
      </c>
      <c r="C234" s="112" t="s">
        <v>259</v>
      </c>
      <c r="D234" s="95"/>
      <c r="E234" s="88">
        <f>3.6*1.2*54</f>
        <v>233.28000000000003</v>
      </c>
      <c r="F234" s="100"/>
      <c r="G234" s="101"/>
      <c r="H234" s="102"/>
      <c r="I234" s="98"/>
      <c r="J234" s="149"/>
    </row>
    <row r="235" spans="1:10" s="93" customFormat="1" ht="12.75" customHeight="1" outlineLevel="1">
      <c r="A235" s="99"/>
      <c r="B235" s="137" t="s">
        <v>260</v>
      </c>
      <c r="C235" s="112" t="s">
        <v>333</v>
      </c>
      <c r="D235" s="95"/>
      <c r="E235" s="88">
        <f>(18.03+0.3*2)*8*0.22+(7.2+0.3*2)*6*0.22</f>
        <v>43.0848</v>
      </c>
      <c r="F235" s="100"/>
      <c r="G235" s="101"/>
      <c r="H235" s="102"/>
      <c r="I235" s="98"/>
      <c r="J235" s="149"/>
    </row>
    <row r="236" spans="1:10" s="93" customFormat="1" ht="12.75" customHeight="1" outlineLevel="1">
      <c r="A236" s="99"/>
      <c r="B236" s="80"/>
      <c r="C236" s="112" t="s">
        <v>264</v>
      </c>
      <c r="D236" s="95"/>
      <c r="E236" s="88">
        <v>0</v>
      </c>
      <c r="F236" s="100"/>
      <c r="G236" s="101"/>
      <c r="H236" s="102"/>
      <c r="I236" s="98"/>
      <c r="J236" s="149"/>
    </row>
    <row r="237" spans="1:10" s="93" customFormat="1" ht="12.75" customHeight="1" outlineLevel="1">
      <c r="A237" s="99"/>
      <c r="B237" s="137" t="s">
        <v>176</v>
      </c>
      <c r="C237" s="112" t="s">
        <v>174</v>
      </c>
      <c r="D237" s="95"/>
      <c r="E237" s="88">
        <v>0</v>
      </c>
      <c r="F237" s="100"/>
      <c r="G237" s="101"/>
      <c r="H237" s="102"/>
      <c r="I237" s="98"/>
      <c r="J237" s="149"/>
    </row>
    <row r="238" spans="1:10" s="93" customFormat="1" ht="12.75" customHeight="1" outlineLevel="1">
      <c r="A238" s="99"/>
      <c r="B238" s="80"/>
      <c r="C238" s="112" t="s">
        <v>265</v>
      </c>
      <c r="D238" s="95"/>
      <c r="E238" s="88">
        <f>(25.64+4.8+18.94+2.35+0.3)*22.05+3*2*1.2</f>
        <v>1154.4615000000001</v>
      </c>
      <c r="F238" s="100"/>
      <c r="G238" s="101"/>
      <c r="H238" s="102"/>
      <c r="I238" s="98"/>
      <c r="J238" s="149"/>
    </row>
    <row r="239" spans="1:10" s="93" customFormat="1" ht="12.75" customHeight="1" outlineLevel="1">
      <c r="A239" s="99"/>
      <c r="B239" s="80"/>
      <c r="C239" s="112" t="s">
        <v>98</v>
      </c>
      <c r="D239" s="95"/>
      <c r="E239" s="88">
        <v>0</v>
      </c>
      <c r="F239" s="100"/>
      <c r="G239" s="101"/>
      <c r="H239" s="102"/>
      <c r="I239" s="98"/>
      <c r="J239" s="149"/>
    </row>
    <row r="240" spans="1:10" s="93" customFormat="1" ht="12.75" customHeight="1" outlineLevel="1">
      <c r="A240" s="99"/>
      <c r="B240" s="80"/>
      <c r="C240" s="112" t="s">
        <v>317</v>
      </c>
      <c r="D240" s="95"/>
      <c r="E240" s="88">
        <f>((1+0.65*2)*7+(2.1+1.6*2)*18+(2.35+1.6*2)*6+(1.2+1.6*2)*63+(0.9+2.35*2)*63+2.35*2.2)*0.28</f>
        <v>218.39160000000004</v>
      </c>
      <c r="F240" s="100"/>
      <c r="G240" s="101"/>
      <c r="H240" s="102"/>
      <c r="I240" s="98"/>
      <c r="J240" s="149"/>
    </row>
    <row r="241" spans="1:10" s="93" customFormat="1" ht="12.75" customHeight="1" outlineLevel="1">
      <c r="A241" s="99"/>
      <c r="B241" s="80"/>
      <c r="C241" s="112" t="s">
        <v>175</v>
      </c>
      <c r="D241" s="95"/>
      <c r="E241" s="88">
        <v>0</v>
      </c>
      <c r="F241" s="100"/>
      <c r="G241" s="101"/>
      <c r="H241" s="102"/>
      <c r="I241" s="98"/>
      <c r="J241" s="149"/>
    </row>
    <row r="242" spans="1:10" s="93" customFormat="1" ht="12.75" customHeight="1" outlineLevel="1">
      <c r="A242" s="99"/>
      <c r="B242" s="80"/>
      <c r="C242" s="112" t="s">
        <v>604</v>
      </c>
      <c r="D242" s="95"/>
      <c r="E242" s="88">
        <f>(1*0.65*7+2.1*1.6*18+2.35*1.25*6+(1.52*1.6+0.9*2.35)*63+2.35*2.2)*-1</f>
        <v>-374.286</v>
      </c>
      <c r="F242" s="100"/>
      <c r="G242" s="101"/>
      <c r="H242" s="102"/>
      <c r="I242" s="98"/>
      <c r="J242" s="149"/>
    </row>
    <row r="243" spans="1:10" s="93" customFormat="1" ht="12.75" customHeight="1" outlineLevel="1">
      <c r="A243" s="99"/>
      <c r="B243" s="137" t="s">
        <v>256</v>
      </c>
      <c r="C243" s="112" t="s">
        <v>268</v>
      </c>
      <c r="D243" s="95"/>
      <c r="E243" s="88">
        <f>(1*2+0.2)*2.67*74+(1*2+0.2)*1.55*8</f>
        <v>461.9560000000001</v>
      </c>
      <c r="F243" s="100"/>
      <c r="G243" s="101"/>
      <c r="H243" s="102"/>
      <c r="I243" s="98"/>
      <c r="J243" s="149"/>
    </row>
    <row r="244" spans="1:10" s="93" customFormat="1" ht="12.75" customHeight="1" outlineLevel="1">
      <c r="A244" s="99"/>
      <c r="B244" s="137" t="s">
        <v>258</v>
      </c>
      <c r="C244" s="112" t="s">
        <v>269</v>
      </c>
      <c r="D244" s="95"/>
      <c r="E244" s="88">
        <f>3.6*1.2*70</f>
        <v>302.40000000000003</v>
      </c>
      <c r="F244" s="100"/>
      <c r="G244" s="101"/>
      <c r="H244" s="102"/>
      <c r="I244" s="98"/>
      <c r="J244" s="149"/>
    </row>
    <row r="245" spans="1:10" s="93" customFormat="1" ht="12.75" customHeight="1" outlineLevel="1">
      <c r="A245" s="99"/>
      <c r="B245" s="137" t="s">
        <v>260</v>
      </c>
      <c r="C245" s="112" t="s">
        <v>334</v>
      </c>
      <c r="D245" s="95"/>
      <c r="E245" s="88">
        <f>(25.2+0.3*2)*8*0.22+(7.2+0.3*2)*6*0.22</f>
        <v>55.704</v>
      </c>
      <c r="F245" s="100"/>
      <c r="G245" s="101"/>
      <c r="H245" s="102"/>
      <c r="I245" s="98"/>
      <c r="J245" s="149"/>
    </row>
    <row r="246" spans="1:10" s="93" customFormat="1" ht="12.75" customHeight="1" outlineLevel="1">
      <c r="A246" s="99"/>
      <c r="B246" s="137"/>
      <c r="C246" s="112" t="s">
        <v>271</v>
      </c>
      <c r="D246" s="95"/>
      <c r="E246" s="88">
        <v>0</v>
      </c>
      <c r="F246" s="100"/>
      <c r="G246" s="101"/>
      <c r="H246" s="102"/>
      <c r="I246" s="98"/>
      <c r="J246" s="149"/>
    </row>
    <row r="247" spans="1:10" s="93" customFormat="1" ht="12.75" customHeight="1" outlineLevel="1">
      <c r="A247" s="99"/>
      <c r="B247" s="137" t="s">
        <v>176</v>
      </c>
      <c r="C247" s="112" t="s">
        <v>174</v>
      </c>
      <c r="D247" s="95"/>
      <c r="E247" s="88">
        <v>0</v>
      </c>
      <c r="F247" s="100"/>
      <c r="G247" s="101"/>
      <c r="H247" s="102"/>
      <c r="I247" s="98"/>
      <c r="J247" s="149"/>
    </row>
    <row r="248" spans="1:10" s="93" customFormat="1" ht="12.75" customHeight="1" outlineLevel="1">
      <c r="A248" s="99"/>
      <c r="B248" s="80"/>
      <c r="C248" s="112" t="s">
        <v>272</v>
      </c>
      <c r="D248" s="95"/>
      <c r="E248" s="88">
        <f>(9+0.3+7.45)*20.9</f>
        <v>350.075</v>
      </c>
      <c r="F248" s="100"/>
      <c r="G248" s="101"/>
      <c r="H248" s="102"/>
      <c r="I248" s="98"/>
      <c r="J248" s="149"/>
    </row>
    <row r="249" spans="1:10" s="93" customFormat="1" ht="12.75" customHeight="1" outlineLevel="1">
      <c r="A249" s="99"/>
      <c r="B249" s="80"/>
      <c r="C249" s="112" t="s">
        <v>98</v>
      </c>
      <c r="D249" s="95"/>
      <c r="E249" s="88">
        <v>0</v>
      </c>
      <c r="F249" s="100"/>
      <c r="G249" s="101"/>
      <c r="H249" s="102"/>
      <c r="I249" s="98"/>
      <c r="J249" s="149"/>
    </row>
    <row r="250" spans="1:10" s="93" customFormat="1" ht="12.75" customHeight="1" outlineLevel="1">
      <c r="A250" s="99"/>
      <c r="B250" s="80"/>
      <c r="C250" s="112" t="s">
        <v>335</v>
      </c>
      <c r="D250" s="95"/>
      <c r="E250" s="88">
        <f>((0.9+1.6*2)*6+1.8+2.2*2)*0.22</f>
        <v>6.776000000000001</v>
      </c>
      <c r="F250" s="100"/>
      <c r="G250" s="101"/>
      <c r="H250" s="102"/>
      <c r="I250" s="98"/>
      <c r="J250" s="149"/>
    </row>
    <row r="251" spans="1:10" s="93" customFormat="1" ht="12.75" customHeight="1" outlineLevel="1">
      <c r="A251" s="99"/>
      <c r="B251" s="80"/>
      <c r="C251" s="112" t="s">
        <v>175</v>
      </c>
      <c r="D251" s="95"/>
      <c r="E251" s="88">
        <v>0</v>
      </c>
      <c r="F251" s="100"/>
      <c r="G251" s="101"/>
      <c r="H251" s="102"/>
      <c r="I251" s="98"/>
      <c r="J251" s="149"/>
    </row>
    <row r="252" spans="1:10" s="93" customFormat="1" ht="12.75" customHeight="1" outlineLevel="1">
      <c r="A252" s="99"/>
      <c r="B252" s="80"/>
      <c r="C252" s="112" t="s">
        <v>274</v>
      </c>
      <c r="D252" s="95"/>
      <c r="E252" s="88">
        <f>(0.9*1.6*6+2.2*1.8)*-1</f>
        <v>-12.600000000000001</v>
      </c>
      <c r="F252" s="100"/>
      <c r="G252" s="101"/>
      <c r="H252" s="102"/>
      <c r="I252" s="98"/>
      <c r="J252" s="149"/>
    </row>
    <row r="253" spans="1:10" s="93" customFormat="1" ht="12.75" customHeight="1" outlineLevel="1">
      <c r="A253" s="99"/>
      <c r="B253" s="137"/>
      <c r="C253" s="112" t="s">
        <v>275</v>
      </c>
      <c r="D253" s="95"/>
      <c r="E253" s="88">
        <v>0</v>
      </c>
      <c r="F253" s="100"/>
      <c r="G253" s="101"/>
      <c r="H253" s="102"/>
      <c r="I253" s="98"/>
      <c r="J253" s="149"/>
    </row>
    <row r="254" spans="1:10" s="93" customFormat="1" ht="12.75" customHeight="1" outlineLevel="1">
      <c r="A254" s="99"/>
      <c r="B254" s="137" t="s">
        <v>176</v>
      </c>
      <c r="C254" s="112" t="s">
        <v>174</v>
      </c>
      <c r="D254" s="95"/>
      <c r="E254" s="88">
        <v>0</v>
      </c>
      <c r="F254" s="100"/>
      <c r="G254" s="101"/>
      <c r="H254" s="102"/>
      <c r="I254" s="98"/>
      <c r="J254" s="149"/>
    </row>
    <row r="255" spans="1:10" s="93" customFormat="1" ht="12.75" customHeight="1" outlineLevel="1">
      <c r="A255" s="99"/>
      <c r="B255" s="80"/>
      <c r="C255" s="112" t="s">
        <v>276</v>
      </c>
      <c r="D255" s="95"/>
      <c r="E255" s="88">
        <f>(12.85+0.3)*13.025</f>
        <v>171.27875</v>
      </c>
      <c r="F255" s="100"/>
      <c r="G255" s="101"/>
      <c r="H255" s="102"/>
      <c r="I255" s="98"/>
      <c r="J255" s="149"/>
    </row>
    <row r="256" spans="1:10" s="93" customFormat="1" ht="12.75" customHeight="1" outlineLevel="1">
      <c r="A256" s="99"/>
      <c r="B256" s="80"/>
      <c r="C256" s="112" t="s">
        <v>98</v>
      </c>
      <c r="D256" s="95"/>
      <c r="E256" s="88">
        <v>0</v>
      </c>
      <c r="F256" s="100"/>
      <c r="G256" s="101"/>
      <c r="H256" s="102"/>
      <c r="I256" s="98"/>
      <c r="J256" s="149"/>
    </row>
    <row r="257" spans="1:10" s="93" customFormat="1" ht="12.75" customHeight="1" outlineLevel="1">
      <c r="A257" s="99"/>
      <c r="B257" s="80"/>
      <c r="C257" s="112" t="s">
        <v>336</v>
      </c>
      <c r="D257" s="95"/>
      <c r="E257" s="88">
        <f>(0.9+1.6*2)*4*0.22</f>
        <v>3.6080000000000005</v>
      </c>
      <c r="F257" s="100"/>
      <c r="G257" s="101"/>
      <c r="H257" s="102"/>
      <c r="I257" s="98"/>
      <c r="J257" s="149"/>
    </row>
    <row r="258" spans="1:10" s="93" customFormat="1" ht="12.75" customHeight="1" outlineLevel="1">
      <c r="A258" s="99"/>
      <c r="B258" s="80"/>
      <c r="C258" s="112" t="s">
        <v>175</v>
      </c>
      <c r="D258" s="95"/>
      <c r="E258" s="88">
        <v>0</v>
      </c>
      <c r="F258" s="100"/>
      <c r="G258" s="101"/>
      <c r="H258" s="102"/>
      <c r="I258" s="98"/>
      <c r="J258" s="149"/>
    </row>
    <row r="259" spans="1:10" s="93" customFormat="1" ht="12.75" customHeight="1" outlineLevel="1">
      <c r="A259" s="99"/>
      <c r="B259" s="80"/>
      <c r="C259" s="112" t="s">
        <v>278</v>
      </c>
      <c r="D259" s="95"/>
      <c r="E259" s="88">
        <f>(0.9*1.6*4)*-1</f>
        <v>-5.760000000000001</v>
      </c>
      <c r="F259" s="100"/>
      <c r="G259" s="101"/>
      <c r="H259" s="102"/>
      <c r="I259" s="98"/>
      <c r="J259" s="149"/>
    </row>
    <row r="260" spans="1:10" s="93" customFormat="1" ht="12.75" customHeight="1" outlineLevel="1">
      <c r="A260" s="99"/>
      <c r="B260" s="137" t="s">
        <v>279</v>
      </c>
      <c r="C260" s="112" t="s">
        <v>280</v>
      </c>
      <c r="D260" s="95"/>
      <c r="E260" s="139">
        <f>3.45*(9.35*2+4.25*2)</f>
        <v>93.84</v>
      </c>
      <c r="F260" s="100"/>
      <c r="G260" s="101"/>
      <c r="H260" s="102"/>
      <c r="I260" s="98"/>
      <c r="J260" s="149"/>
    </row>
    <row r="261" spans="1:10" s="93" customFormat="1" ht="12.75" customHeight="1" outlineLevel="1">
      <c r="A261" s="99"/>
      <c r="B261" s="137"/>
      <c r="C261" s="112" t="s">
        <v>591</v>
      </c>
      <c r="D261" s="95"/>
      <c r="E261" s="88">
        <f>0.55*3.46</f>
        <v>1.903</v>
      </c>
      <c r="F261" s="100"/>
      <c r="G261" s="101"/>
      <c r="H261" s="102"/>
      <c r="I261" s="98"/>
      <c r="J261" s="149"/>
    </row>
    <row r="262" spans="1:10" s="93" customFormat="1" ht="12.75" customHeight="1">
      <c r="A262" s="99" t="s">
        <v>493</v>
      </c>
      <c r="B262" s="80" t="s">
        <v>326</v>
      </c>
      <c r="C262" s="81" t="s">
        <v>327</v>
      </c>
      <c r="D262" s="82" t="s">
        <v>72</v>
      </c>
      <c r="E262" s="83">
        <f>SUM(E263:E298)</f>
        <v>4740.440750000001</v>
      </c>
      <c r="F262" s="84">
        <v>0.00231</v>
      </c>
      <c r="G262" s="101">
        <f>E262*F262</f>
        <v>10.950418132500001</v>
      </c>
      <c r="H262" s="85"/>
      <c r="I262" s="86">
        <f>E262*H262</f>
        <v>0</v>
      </c>
      <c r="J262" s="148" t="s">
        <v>250</v>
      </c>
    </row>
    <row r="263" spans="1:10" s="93" customFormat="1" ht="12.75" customHeight="1" outlineLevel="1">
      <c r="A263" s="99"/>
      <c r="B263" s="80"/>
      <c r="C263" s="112" t="s">
        <v>263</v>
      </c>
      <c r="D263" s="95"/>
      <c r="E263" s="88">
        <v>0</v>
      </c>
      <c r="F263" s="100"/>
      <c r="G263" s="101"/>
      <c r="H263" s="102"/>
      <c r="I263" s="98"/>
      <c r="J263" s="149"/>
    </row>
    <row r="264" spans="1:10" s="93" customFormat="1" ht="12.75" customHeight="1" outlineLevel="1">
      <c r="A264" s="99"/>
      <c r="B264" s="137" t="s">
        <v>176</v>
      </c>
      <c r="C264" s="112" t="s">
        <v>174</v>
      </c>
      <c r="D264" s="95"/>
      <c r="E264" s="88">
        <v>0</v>
      </c>
      <c r="F264" s="100"/>
      <c r="G264" s="101"/>
      <c r="H264" s="102"/>
      <c r="I264" s="98"/>
      <c r="J264" s="149"/>
    </row>
    <row r="265" spans="1:10" s="93" customFormat="1" ht="12.75" customHeight="1" outlineLevel="1">
      <c r="A265" s="99"/>
      <c r="B265" s="80"/>
      <c r="C265" s="112" t="s">
        <v>262</v>
      </c>
      <c r="D265" s="95"/>
      <c r="E265" s="88">
        <f>(0.44+0.3+3.46+2.35+22.24+1.2+18.84+(1.2*2+1.2)*9)*21.92+3*2*1.2</f>
        <v>1787.7616</v>
      </c>
      <c r="F265" s="100"/>
      <c r="G265" s="101"/>
      <c r="H265" s="102"/>
      <c r="I265" s="98"/>
      <c r="J265" s="149"/>
    </row>
    <row r="266" spans="1:10" s="93" customFormat="1" ht="12.75" customHeight="1" outlineLevel="1">
      <c r="A266" s="99"/>
      <c r="B266" s="80"/>
      <c r="C266" s="112" t="s">
        <v>98</v>
      </c>
      <c r="D266" s="95"/>
      <c r="E266" s="88">
        <v>0</v>
      </c>
      <c r="F266" s="100"/>
      <c r="G266" s="101"/>
      <c r="H266" s="102"/>
      <c r="I266" s="98"/>
      <c r="J266" s="149"/>
    </row>
    <row r="267" spans="1:10" s="93" customFormat="1" ht="22.5" customHeight="1" outlineLevel="1">
      <c r="A267" s="99"/>
      <c r="B267" s="80"/>
      <c r="C267" s="112" t="s">
        <v>316</v>
      </c>
      <c r="D267" s="95"/>
      <c r="E267" s="88">
        <f>((1+2*0.65)*6+(0.9+1.6*2)*8+(2.1+1.6*2)*25+(1.2+1.6*2)*49+(0.9+2.35*2)*49+(2.35+1.5*2)*7)*0.28</f>
        <v>197.83400000000006</v>
      </c>
      <c r="F267" s="100"/>
      <c r="G267" s="101"/>
      <c r="H267" s="102"/>
      <c r="I267" s="98"/>
      <c r="J267" s="149"/>
    </row>
    <row r="268" spans="1:10" s="93" customFormat="1" ht="12.75" customHeight="1" outlineLevel="1">
      <c r="A268" s="99"/>
      <c r="B268" s="80"/>
      <c r="C268" s="112" t="s">
        <v>175</v>
      </c>
      <c r="D268" s="95"/>
      <c r="E268" s="88">
        <v>0</v>
      </c>
      <c r="F268" s="100"/>
      <c r="G268" s="101"/>
      <c r="H268" s="102"/>
      <c r="I268" s="98"/>
      <c r="J268" s="149"/>
    </row>
    <row r="269" spans="1:10" s="93" customFormat="1" ht="23.25" customHeight="1" outlineLevel="1">
      <c r="A269" s="99"/>
      <c r="B269" s="80"/>
      <c r="C269" s="112" t="s">
        <v>603</v>
      </c>
      <c r="D269" s="95"/>
      <c r="E269" s="88">
        <f>(1*0.65*6+0.9*1.6*8+2.1*1.6*28+1.2*1.6*49+0.9*2.35*49+2.35*1.25*7)*-1</f>
        <v>-327.77750000000003</v>
      </c>
      <c r="F269" s="100"/>
      <c r="G269" s="101"/>
      <c r="H269" s="102"/>
      <c r="I269" s="98"/>
      <c r="J269" s="149"/>
    </row>
    <row r="270" spans="1:10" s="93" customFormat="1" ht="12.75" customHeight="1" outlineLevel="1">
      <c r="A270" s="99"/>
      <c r="B270" s="137" t="s">
        <v>256</v>
      </c>
      <c r="C270" s="112" t="s">
        <v>257</v>
      </c>
      <c r="D270" s="95"/>
      <c r="E270" s="88">
        <f>(1*2+0.2)*2.62*60+(1*2+0.2)*1.65*9</f>
        <v>378.5100000000001</v>
      </c>
      <c r="F270" s="100"/>
      <c r="G270" s="101"/>
      <c r="H270" s="102"/>
      <c r="I270" s="98"/>
      <c r="J270" s="149"/>
    </row>
    <row r="271" spans="1:10" s="93" customFormat="1" ht="12.75" customHeight="1" outlineLevel="1">
      <c r="A271" s="99"/>
      <c r="B271" s="137" t="s">
        <v>258</v>
      </c>
      <c r="C271" s="112" t="s">
        <v>259</v>
      </c>
      <c r="D271" s="95"/>
      <c r="E271" s="88">
        <f>3.6*1.2*54</f>
        <v>233.28000000000003</v>
      </c>
      <c r="F271" s="100"/>
      <c r="G271" s="101"/>
      <c r="H271" s="102"/>
      <c r="I271" s="98"/>
      <c r="J271" s="149"/>
    </row>
    <row r="272" spans="1:10" s="93" customFormat="1" ht="12.75" customHeight="1" outlineLevel="1">
      <c r="A272" s="99"/>
      <c r="B272" s="137" t="s">
        <v>260</v>
      </c>
      <c r="C272" s="112" t="s">
        <v>333</v>
      </c>
      <c r="D272" s="95"/>
      <c r="E272" s="88">
        <f>(18.03+0.3*2)*8*0.22+(7.2+0.3*2)*6*0.22</f>
        <v>43.0848</v>
      </c>
      <c r="F272" s="100"/>
      <c r="G272" s="101"/>
      <c r="H272" s="102"/>
      <c r="I272" s="98"/>
      <c r="J272" s="149"/>
    </row>
    <row r="273" spans="1:10" s="93" customFormat="1" ht="12.75" customHeight="1" outlineLevel="1">
      <c r="A273" s="99"/>
      <c r="B273" s="80"/>
      <c r="C273" s="112" t="s">
        <v>264</v>
      </c>
      <c r="D273" s="95"/>
      <c r="E273" s="88">
        <v>0</v>
      </c>
      <c r="F273" s="100"/>
      <c r="G273" s="101"/>
      <c r="H273" s="102"/>
      <c r="I273" s="98"/>
      <c r="J273" s="149"/>
    </row>
    <row r="274" spans="1:10" s="93" customFormat="1" ht="12.75" customHeight="1" outlineLevel="1">
      <c r="A274" s="99"/>
      <c r="B274" s="137" t="s">
        <v>176</v>
      </c>
      <c r="C274" s="112" t="s">
        <v>174</v>
      </c>
      <c r="D274" s="95"/>
      <c r="E274" s="88">
        <v>0</v>
      </c>
      <c r="F274" s="100"/>
      <c r="G274" s="101"/>
      <c r="H274" s="102"/>
      <c r="I274" s="98"/>
      <c r="J274" s="149"/>
    </row>
    <row r="275" spans="1:10" s="93" customFormat="1" ht="12.75" customHeight="1" outlineLevel="1">
      <c r="A275" s="99"/>
      <c r="B275" s="80"/>
      <c r="C275" s="112" t="s">
        <v>265</v>
      </c>
      <c r="D275" s="95"/>
      <c r="E275" s="88">
        <f>(25.64+4.8+18.94+2.35+0.3)*22.05+3*2*1.2</f>
        <v>1154.4615000000001</v>
      </c>
      <c r="F275" s="100"/>
      <c r="G275" s="101"/>
      <c r="H275" s="102"/>
      <c r="I275" s="98"/>
      <c r="J275" s="149"/>
    </row>
    <row r="276" spans="1:10" s="93" customFormat="1" ht="12.75" customHeight="1" outlineLevel="1">
      <c r="A276" s="99"/>
      <c r="B276" s="80"/>
      <c r="C276" s="112" t="s">
        <v>98</v>
      </c>
      <c r="D276" s="95"/>
      <c r="E276" s="88">
        <v>0</v>
      </c>
      <c r="F276" s="100"/>
      <c r="G276" s="101"/>
      <c r="H276" s="102"/>
      <c r="I276" s="98"/>
      <c r="J276" s="149"/>
    </row>
    <row r="277" spans="1:10" s="93" customFormat="1" ht="23.25" customHeight="1" outlineLevel="1">
      <c r="A277" s="99"/>
      <c r="B277" s="80"/>
      <c r="C277" s="112" t="s">
        <v>317</v>
      </c>
      <c r="D277" s="95"/>
      <c r="E277" s="88">
        <f>((1+0.65*2)*7+(2.1+1.6*2)*18+(2.35+1.6*2)*6+(1.2+1.6*2)*63+(0.9+2.35*2)*63+2.35*2.2)*0.28</f>
        <v>218.39160000000004</v>
      </c>
      <c r="F277" s="100"/>
      <c r="G277" s="101"/>
      <c r="H277" s="102"/>
      <c r="I277" s="98"/>
      <c r="J277" s="149"/>
    </row>
    <row r="278" spans="1:10" s="93" customFormat="1" ht="12.75" customHeight="1" outlineLevel="1">
      <c r="A278" s="99"/>
      <c r="B278" s="80"/>
      <c r="C278" s="112" t="s">
        <v>175</v>
      </c>
      <c r="D278" s="95"/>
      <c r="E278" s="88">
        <v>0</v>
      </c>
      <c r="F278" s="100"/>
      <c r="G278" s="101"/>
      <c r="H278" s="102"/>
      <c r="I278" s="98"/>
      <c r="J278" s="149"/>
    </row>
    <row r="279" spans="1:10" s="93" customFormat="1" ht="12.75" customHeight="1" outlineLevel="1">
      <c r="A279" s="99"/>
      <c r="B279" s="80"/>
      <c r="C279" s="112" t="s">
        <v>604</v>
      </c>
      <c r="D279" s="95"/>
      <c r="E279" s="88">
        <f>(1*0.65*7+2.1*1.6*18+2.35*1.25*6+(1.52*1.6+0.9*2.35)*63+2.35*2.2)*-1</f>
        <v>-374.286</v>
      </c>
      <c r="F279" s="100"/>
      <c r="G279" s="101"/>
      <c r="H279" s="102"/>
      <c r="I279" s="98"/>
      <c r="J279" s="149"/>
    </row>
    <row r="280" spans="1:10" s="93" customFormat="1" ht="12.75" customHeight="1" outlineLevel="1">
      <c r="A280" s="99"/>
      <c r="B280" s="137" t="s">
        <v>256</v>
      </c>
      <c r="C280" s="112" t="s">
        <v>268</v>
      </c>
      <c r="D280" s="95"/>
      <c r="E280" s="88">
        <f>(1*2+0.2)*2.67*74+(1*2+0.2)*1.55*8</f>
        <v>461.9560000000001</v>
      </c>
      <c r="F280" s="100"/>
      <c r="G280" s="101"/>
      <c r="H280" s="102"/>
      <c r="I280" s="98"/>
      <c r="J280" s="149"/>
    </row>
    <row r="281" spans="1:10" s="93" customFormat="1" ht="12.75" customHeight="1" outlineLevel="1">
      <c r="A281" s="99"/>
      <c r="B281" s="137" t="s">
        <v>258</v>
      </c>
      <c r="C281" s="112" t="s">
        <v>269</v>
      </c>
      <c r="D281" s="95"/>
      <c r="E281" s="88">
        <f>3.6*1.2*70</f>
        <v>302.40000000000003</v>
      </c>
      <c r="F281" s="100"/>
      <c r="G281" s="101"/>
      <c r="H281" s="102"/>
      <c r="I281" s="98"/>
      <c r="J281" s="149"/>
    </row>
    <row r="282" spans="1:10" s="93" customFormat="1" ht="12.75" customHeight="1" outlineLevel="1">
      <c r="A282" s="99"/>
      <c r="B282" s="137" t="s">
        <v>260</v>
      </c>
      <c r="C282" s="112" t="s">
        <v>334</v>
      </c>
      <c r="D282" s="95"/>
      <c r="E282" s="88">
        <f>(25.2+0.3*2)*8*0.22+(7.2+0.3*2)*6*0.22</f>
        <v>55.704</v>
      </c>
      <c r="F282" s="100"/>
      <c r="G282" s="101"/>
      <c r="H282" s="102"/>
      <c r="I282" s="98"/>
      <c r="J282" s="149"/>
    </row>
    <row r="283" spans="1:10" s="93" customFormat="1" ht="12.75" customHeight="1" outlineLevel="1">
      <c r="A283" s="99"/>
      <c r="B283" s="137"/>
      <c r="C283" s="112" t="s">
        <v>271</v>
      </c>
      <c r="D283" s="95"/>
      <c r="E283" s="88">
        <v>0</v>
      </c>
      <c r="F283" s="100"/>
      <c r="G283" s="101"/>
      <c r="H283" s="102"/>
      <c r="I283" s="98"/>
      <c r="J283" s="149"/>
    </row>
    <row r="284" spans="1:10" s="93" customFormat="1" ht="12.75" customHeight="1" outlineLevel="1">
      <c r="A284" s="99"/>
      <c r="B284" s="137" t="s">
        <v>176</v>
      </c>
      <c r="C284" s="112" t="s">
        <v>174</v>
      </c>
      <c r="D284" s="95"/>
      <c r="E284" s="88">
        <v>0</v>
      </c>
      <c r="F284" s="100"/>
      <c r="G284" s="101"/>
      <c r="H284" s="102"/>
      <c r="I284" s="98"/>
      <c r="J284" s="149"/>
    </row>
    <row r="285" spans="1:10" s="93" customFormat="1" ht="12.75" customHeight="1" outlineLevel="1">
      <c r="A285" s="99"/>
      <c r="B285" s="80"/>
      <c r="C285" s="112" t="s">
        <v>272</v>
      </c>
      <c r="D285" s="95"/>
      <c r="E285" s="88">
        <f>(9+0.3+7.45)*20.9</f>
        <v>350.075</v>
      </c>
      <c r="F285" s="100"/>
      <c r="G285" s="101"/>
      <c r="H285" s="102"/>
      <c r="I285" s="98"/>
      <c r="J285" s="149"/>
    </row>
    <row r="286" spans="1:10" s="93" customFormat="1" ht="12.75" customHeight="1" outlineLevel="1">
      <c r="A286" s="99"/>
      <c r="B286" s="80"/>
      <c r="C286" s="112" t="s">
        <v>98</v>
      </c>
      <c r="D286" s="95"/>
      <c r="E286" s="88">
        <v>0</v>
      </c>
      <c r="F286" s="100"/>
      <c r="G286" s="101"/>
      <c r="H286" s="102"/>
      <c r="I286" s="98"/>
      <c r="J286" s="149"/>
    </row>
    <row r="287" spans="1:10" s="93" customFormat="1" ht="12.75" customHeight="1" outlineLevel="1">
      <c r="A287" s="99"/>
      <c r="B287" s="80"/>
      <c r="C287" s="112" t="s">
        <v>335</v>
      </c>
      <c r="D287" s="95"/>
      <c r="E287" s="88">
        <f>((0.9+1.6*2)*6+1.8+2.2*2)*0.22</f>
        <v>6.776000000000001</v>
      </c>
      <c r="F287" s="100"/>
      <c r="G287" s="101"/>
      <c r="H287" s="102"/>
      <c r="I287" s="98"/>
      <c r="J287" s="149"/>
    </row>
    <row r="288" spans="1:10" s="93" customFormat="1" ht="12.75" customHeight="1" outlineLevel="1">
      <c r="A288" s="99"/>
      <c r="B288" s="80"/>
      <c r="C288" s="112" t="s">
        <v>175</v>
      </c>
      <c r="D288" s="95"/>
      <c r="E288" s="88">
        <v>0</v>
      </c>
      <c r="F288" s="100"/>
      <c r="G288" s="101"/>
      <c r="H288" s="102"/>
      <c r="I288" s="98"/>
      <c r="J288" s="149"/>
    </row>
    <row r="289" spans="1:10" s="93" customFormat="1" ht="12.75" customHeight="1" outlineLevel="1">
      <c r="A289" s="99"/>
      <c r="B289" s="80"/>
      <c r="C289" s="112" t="s">
        <v>274</v>
      </c>
      <c r="D289" s="95"/>
      <c r="E289" s="88">
        <f>(0.9*1.6*6+2.2*1.8)*-1</f>
        <v>-12.600000000000001</v>
      </c>
      <c r="F289" s="100"/>
      <c r="G289" s="101"/>
      <c r="H289" s="102"/>
      <c r="I289" s="98"/>
      <c r="J289" s="149"/>
    </row>
    <row r="290" spans="1:10" s="93" customFormat="1" ht="12.75" customHeight="1" outlineLevel="1">
      <c r="A290" s="99"/>
      <c r="B290" s="137"/>
      <c r="C290" s="112" t="s">
        <v>275</v>
      </c>
      <c r="D290" s="95"/>
      <c r="E290" s="88">
        <v>0</v>
      </c>
      <c r="F290" s="100"/>
      <c r="G290" s="101"/>
      <c r="H290" s="102"/>
      <c r="I290" s="98"/>
      <c r="J290" s="149"/>
    </row>
    <row r="291" spans="1:10" s="93" customFormat="1" ht="12.75" customHeight="1" outlineLevel="1">
      <c r="A291" s="99"/>
      <c r="B291" s="137" t="s">
        <v>176</v>
      </c>
      <c r="C291" s="112" t="s">
        <v>174</v>
      </c>
      <c r="D291" s="95"/>
      <c r="E291" s="88">
        <v>0</v>
      </c>
      <c r="F291" s="100"/>
      <c r="G291" s="101"/>
      <c r="H291" s="102"/>
      <c r="I291" s="98"/>
      <c r="J291" s="149"/>
    </row>
    <row r="292" spans="1:10" s="93" customFormat="1" ht="12.75" customHeight="1" outlineLevel="1">
      <c r="A292" s="99"/>
      <c r="B292" s="80"/>
      <c r="C292" s="112" t="s">
        <v>276</v>
      </c>
      <c r="D292" s="95"/>
      <c r="E292" s="88">
        <f>(12.85+0.3)*13.025</f>
        <v>171.27875</v>
      </c>
      <c r="F292" s="100"/>
      <c r="G292" s="101"/>
      <c r="H292" s="102"/>
      <c r="I292" s="98"/>
      <c r="J292" s="149"/>
    </row>
    <row r="293" spans="1:10" s="93" customFormat="1" ht="12.75" customHeight="1" outlineLevel="1">
      <c r="A293" s="99"/>
      <c r="B293" s="80"/>
      <c r="C293" s="112" t="s">
        <v>98</v>
      </c>
      <c r="D293" s="95"/>
      <c r="E293" s="88">
        <v>0</v>
      </c>
      <c r="F293" s="100"/>
      <c r="G293" s="101"/>
      <c r="H293" s="102"/>
      <c r="I293" s="98"/>
      <c r="J293" s="149"/>
    </row>
    <row r="294" spans="1:10" s="93" customFormat="1" ht="12.75" customHeight="1" outlineLevel="1">
      <c r="A294" s="99"/>
      <c r="B294" s="80"/>
      <c r="C294" s="112" t="s">
        <v>336</v>
      </c>
      <c r="D294" s="95"/>
      <c r="E294" s="88">
        <f>(0.9+1.6*2)*4*0.22</f>
        <v>3.6080000000000005</v>
      </c>
      <c r="F294" s="100"/>
      <c r="G294" s="101"/>
      <c r="H294" s="102"/>
      <c r="I294" s="98"/>
      <c r="J294" s="149"/>
    </row>
    <row r="295" spans="1:10" s="93" customFormat="1" ht="12.75" customHeight="1" outlineLevel="1">
      <c r="A295" s="99"/>
      <c r="B295" s="80"/>
      <c r="C295" s="112" t="s">
        <v>175</v>
      </c>
      <c r="D295" s="95"/>
      <c r="E295" s="88">
        <v>0</v>
      </c>
      <c r="F295" s="100"/>
      <c r="G295" s="101"/>
      <c r="H295" s="102"/>
      <c r="I295" s="98"/>
      <c r="J295" s="149"/>
    </row>
    <row r="296" spans="1:10" s="93" customFormat="1" ht="12.75" customHeight="1" outlineLevel="1">
      <c r="A296" s="99"/>
      <c r="B296" s="80"/>
      <c r="C296" s="112" t="s">
        <v>278</v>
      </c>
      <c r="D296" s="95"/>
      <c r="E296" s="88">
        <f>(0.9*1.6*4)*-1</f>
        <v>-5.760000000000001</v>
      </c>
      <c r="F296" s="100"/>
      <c r="G296" s="101"/>
      <c r="H296" s="102"/>
      <c r="I296" s="98"/>
      <c r="J296" s="149"/>
    </row>
    <row r="297" spans="1:10" s="93" customFormat="1" ht="12.75" customHeight="1" outlineLevel="1">
      <c r="A297" s="99"/>
      <c r="B297" s="137" t="s">
        <v>279</v>
      </c>
      <c r="C297" s="112" t="s">
        <v>280</v>
      </c>
      <c r="D297" s="95"/>
      <c r="E297" s="139">
        <f>3.45*(9.35*2+4.25*2)</f>
        <v>93.84</v>
      </c>
      <c r="F297" s="100"/>
      <c r="G297" s="101"/>
      <c r="H297" s="102"/>
      <c r="I297" s="98"/>
      <c r="J297" s="149"/>
    </row>
    <row r="298" spans="1:10" s="93" customFormat="1" ht="12.75" customHeight="1" outlineLevel="1">
      <c r="A298" s="99"/>
      <c r="B298" s="137"/>
      <c r="C298" s="112" t="s">
        <v>591</v>
      </c>
      <c r="D298" s="95"/>
      <c r="E298" s="88">
        <f>0.55*3.46</f>
        <v>1.903</v>
      </c>
      <c r="F298" s="100"/>
      <c r="G298" s="101"/>
      <c r="H298" s="102"/>
      <c r="I298" s="98"/>
      <c r="J298" s="149"/>
    </row>
    <row r="299" spans="1:10" s="93" customFormat="1" ht="12.75" customHeight="1">
      <c r="A299" s="99" t="s">
        <v>494</v>
      </c>
      <c r="B299" s="80" t="s">
        <v>330</v>
      </c>
      <c r="C299" s="81" t="s">
        <v>331</v>
      </c>
      <c r="D299" s="82" t="s">
        <v>72</v>
      </c>
      <c r="E299" s="83">
        <f>SUM(E300:E307)</f>
        <v>98.83200000000001</v>
      </c>
      <c r="F299" s="84">
        <v>4.3E-05</v>
      </c>
      <c r="G299" s="101">
        <f>E299*F299</f>
        <v>0.004249776</v>
      </c>
      <c r="H299" s="85"/>
      <c r="I299" s="86">
        <f>E299*H299</f>
        <v>0</v>
      </c>
      <c r="J299" s="148" t="s">
        <v>250</v>
      </c>
    </row>
    <row r="300" spans="1:10" s="93" customFormat="1" ht="12.75" customHeight="1" outlineLevel="1">
      <c r="A300" s="99"/>
      <c r="B300" s="137" t="s">
        <v>176</v>
      </c>
      <c r="C300" s="112" t="s">
        <v>177</v>
      </c>
      <c r="D300" s="95"/>
      <c r="E300" s="88">
        <v>0</v>
      </c>
      <c r="F300" s="100"/>
      <c r="G300" s="101"/>
      <c r="H300" s="102"/>
      <c r="I300" s="98"/>
      <c r="J300" s="149"/>
    </row>
    <row r="301" spans="1:10" s="93" customFormat="1" ht="12.75" customHeight="1" outlineLevel="1">
      <c r="A301" s="99"/>
      <c r="B301" s="80"/>
      <c r="C301" s="112" t="s">
        <v>301</v>
      </c>
      <c r="D301" s="95"/>
      <c r="E301" s="88">
        <f>0.6*(0.44+0.3+3.46+2.35+22.24+1.2+18.84)</f>
        <v>29.298</v>
      </c>
      <c r="F301" s="100"/>
      <c r="G301" s="101"/>
      <c r="H301" s="102"/>
      <c r="I301" s="98"/>
      <c r="J301" s="149"/>
    </row>
    <row r="302" spans="1:10" s="93" customFormat="1" ht="12.75" customHeight="1" outlineLevel="1">
      <c r="A302" s="99"/>
      <c r="B302" s="80"/>
      <c r="C302" s="112" t="s">
        <v>305</v>
      </c>
      <c r="D302" s="95"/>
      <c r="E302" s="88">
        <f>0.6*(1.2*2+0.2)*9</f>
        <v>14.040000000000001</v>
      </c>
      <c r="F302" s="100"/>
      <c r="G302" s="101"/>
      <c r="H302" s="102"/>
      <c r="I302" s="98"/>
      <c r="J302" s="149"/>
    </row>
    <row r="303" spans="1:10" s="93" customFormat="1" ht="12.75" customHeight="1" outlineLevel="1">
      <c r="A303" s="99"/>
      <c r="B303" s="80"/>
      <c r="C303" s="112" t="s">
        <v>178</v>
      </c>
      <c r="D303" s="95"/>
      <c r="E303" s="88">
        <v>0</v>
      </c>
      <c r="F303" s="100"/>
      <c r="G303" s="101"/>
      <c r="H303" s="102"/>
      <c r="I303" s="98"/>
      <c r="J303" s="149"/>
    </row>
    <row r="304" spans="1:10" s="93" customFormat="1" ht="12.75" customHeight="1" outlineLevel="1">
      <c r="A304" s="99"/>
      <c r="B304" s="80"/>
      <c r="C304" s="112" t="s">
        <v>302</v>
      </c>
      <c r="D304" s="95"/>
      <c r="E304" s="88">
        <f>0.6*(25.64+4.8+18.94)</f>
        <v>29.628</v>
      </c>
      <c r="F304" s="100"/>
      <c r="G304" s="101"/>
      <c r="H304" s="102"/>
      <c r="I304" s="98"/>
      <c r="J304" s="149"/>
    </row>
    <row r="305" spans="1:10" s="93" customFormat="1" ht="12.75" customHeight="1" outlineLevel="1">
      <c r="A305" s="99"/>
      <c r="B305" s="80"/>
      <c r="C305" s="112" t="s">
        <v>306</v>
      </c>
      <c r="D305" s="95"/>
      <c r="E305" s="88">
        <f>0.6*(1.2*2+0.2)*11</f>
        <v>17.16</v>
      </c>
      <c r="F305" s="100"/>
      <c r="G305" s="101"/>
      <c r="H305" s="102"/>
      <c r="I305" s="98"/>
      <c r="J305" s="149"/>
    </row>
    <row r="306" spans="1:10" s="93" customFormat="1" ht="12.75" customHeight="1" outlineLevel="1">
      <c r="A306" s="99"/>
      <c r="B306" s="80"/>
      <c r="C306" s="112" t="s">
        <v>149</v>
      </c>
      <c r="D306" s="95"/>
      <c r="E306" s="88">
        <v>0</v>
      </c>
      <c r="F306" s="100"/>
      <c r="G306" s="101"/>
      <c r="H306" s="102"/>
      <c r="I306" s="98"/>
      <c r="J306" s="149"/>
    </row>
    <row r="307" spans="1:10" s="93" customFormat="1" ht="12.75" customHeight="1" outlineLevel="1">
      <c r="A307" s="99"/>
      <c r="B307" s="80"/>
      <c r="C307" s="112" t="s">
        <v>584</v>
      </c>
      <c r="D307" s="95"/>
      <c r="E307" s="88">
        <f>0.6*(6.08+0.68+0.3+7.45)</f>
        <v>8.706</v>
      </c>
      <c r="F307" s="100"/>
      <c r="G307" s="101"/>
      <c r="H307" s="102"/>
      <c r="I307" s="98"/>
      <c r="J307" s="149"/>
    </row>
    <row r="308" spans="1:10" s="93" customFormat="1" ht="12.75" customHeight="1">
      <c r="A308" s="99" t="s">
        <v>495</v>
      </c>
      <c r="B308" s="80" t="s">
        <v>332</v>
      </c>
      <c r="C308" s="81" t="s">
        <v>125</v>
      </c>
      <c r="D308" s="82" t="s">
        <v>72</v>
      </c>
      <c r="E308" s="83">
        <f>SUM(E309:E316)</f>
        <v>98.83200000000001</v>
      </c>
      <c r="F308" s="84">
        <v>0.0058</v>
      </c>
      <c r="G308" s="101">
        <f>E308*F308</f>
        <v>0.5732256</v>
      </c>
      <c r="H308" s="85"/>
      <c r="I308" s="86">
        <f>E308*H308</f>
        <v>0</v>
      </c>
      <c r="J308" s="148" t="s">
        <v>250</v>
      </c>
    </row>
    <row r="309" spans="1:10" s="93" customFormat="1" ht="12.75" customHeight="1" outlineLevel="1">
      <c r="A309" s="99"/>
      <c r="B309" s="137" t="s">
        <v>176</v>
      </c>
      <c r="C309" s="112" t="s">
        <v>177</v>
      </c>
      <c r="D309" s="95"/>
      <c r="E309" s="88">
        <v>0</v>
      </c>
      <c r="F309" s="100"/>
      <c r="G309" s="101"/>
      <c r="H309" s="102"/>
      <c r="I309" s="98"/>
      <c r="J309" s="149"/>
    </row>
    <row r="310" spans="1:10" s="93" customFormat="1" ht="12.75" customHeight="1" outlineLevel="1">
      <c r="A310" s="99"/>
      <c r="B310" s="80"/>
      <c r="C310" s="112" t="s">
        <v>301</v>
      </c>
      <c r="D310" s="95"/>
      <c r="E310" s="88">
        <f>0.6*(0.44+0.3+3.46+2.35+22.24+1.2+18.84)</f>
        <v>29.298</v>
      </c>
      <c r="F310" s="100"/>
      <c r="G310" s="101"/>
      <c r="H310" s="102"/>
      <c r="I310" s="98"/>
      <c r="J310" s="149"/>
    </row>
    <row r="311" spans="1:10" s="93" customFormat="1" ht="12.75" customHeight="1" outlineLevel="1">
      <c r="A311" s="99"/>
      <c r="B311" s="80"/>
      <c r="C311" s="112" t="s">
        <v>305</v>
      </c>
      <c r="D311" s="95"/>
      <c r="E311" s="88">
        <f>0.6*(1.2*2+0.2)*9</f>
        <v>14.040000000000001</v>
      </c>
      <c r="F311" s="100"/>
      <c r="G311" s="101"/>
      <c r="H311" s="102"/>
      <c r="I311" s="98"/>
      <c r="J311" s="149"/>
    </row>
    <row r="312" spans="1:10" s="93" customFormat="1" ht="12.75" customHeight="1" outlineLevel="1">
      <c r="A312" s="99"/>
      <c r="B312" s="80"/>
      <c r="C312" s="112" t="s">
        <v>178</v>
      </c>
      <c r="D312" s="95"/>
      <c r="E312" s="88">
        <v>0</v>
      </c>
      <c r="F312" s="100"/>
      <c r="G312" s="101"/>
      <c r="H312" s="102"/>
      <c r="I312" s="98"/>
      <c r="J312" s="149"/>
    </row>
    <row r="313" spans="1:10" s="93" customFormat="1" ht="12.75" customHeight="1" outlineLevel="1">
      <c r="A313" s="99"/>
      <c r="B313" s="80"/>
      <c r="C313" s="112" t="s">
        <v>302</v>
      </c>
      <c r="D313" s="95"/>
      <c r="E313" s="88">
        <f>0.6*(25.64+4.8+18.94)</f>
        <v>29.628</v>
      </c>
      <c r="F313" s="100"/>
      <c r="G313" s="101"/>
      <c r="H313" s="102"/>
      <c r="I313" s="98"/>
      <c r="J313" s="149"/>
    </row>
    <row r="314" spans="1:10" s="93" customFormat="1" ht="12.75" customHeight="1" outlineLevel="1">
      <c r="A314" s="99"/>
      <c r="B314" s="80"/>
      <c r="C314" s="112" t="s">
        <v>306</v>
      </c>
      <c r="D314" s="95"/>
      <c r="E314" s="88">
        <f>0.6*(1.2*2+0.2)*11</f>
        <v>17.16</v>
      </c>
      <c r="F314" s="100"/>
      <c r="G314" s="101"/>
      <c r="H314" s="102"/>
      <c r="I314" s="98"/>
      <c r="J314" s="149"/>
    </row>
    <row r="315" spans="1:10" s="93" customFormat="1" ht="12.75" customHeight="1" outlineLevel="1">
      <c r="A315" s="99"/>
      <c r="B315" s="80"/>
      <c r="C315" s="112" t="s">
        <v>149</v>
      </c>
      <c r="D315" s="95"/>
      <c r="E315" s="88">
        <v>0</v>
      </c>
      <c r="F315" s="100"/>
      <c r="G315" s="101"/>
      <c r="H315" s="102"/>
      <c r="I315" s="98"/>
      <c r="J315" s="149"/>
    </row>
    <row r="316" spans="1:10" s="93" customFormat="1" ht="12.75" customHeight="1" outlineLevel="1">
      <c r="A316" s="99"/>
      <c r="B316" s="80"/>
      <c r="C316" s="112" t="s">
        <v>584</v>
      </c>
      <c r="D316" s="95"/>
      <c r="E316" s="88">
        <f>0.6*(6.08+0.68+0.3+7.45)</f>
        <v>8.706</v>
      </c>
      <c r="F316" s="100"/>
      <c r="G316" s="101"/>
      <c r="H316" s="102"/>
      <c r="I316" s="98"/>
      <c r="J316" s="149"/>
    </row>
    <row r="317" spans="1:10" s="93" customFormat="1" ht="12.75" customHeight="1">
      <c r="A317" s="99" t="s">
        <v>496</v>
      </c>
      <c r="B317" s="80" t="s">
        <v>150</v>
      </c>
      <c r="C317" s="81" t="s">
        <v>219</v>
      </c>
      <c r="D317" s="82" t="s">
        <v>72</v>
      </c>
      <c r="E317" s="83">
        <f>SUM(E318:E319)</f>
        <v>50</v>
      </c>
      <c r="F317" s="84">
        <v>0.0084</v>
      </c>
      <c r="G317" s="101">
        <f>E317*F317</f>
        <v>0.42</v>
      </c>
      <c r="H317" s="85"/>
      <c r="I317" s="86">
        <f>E317*H317</f>
        <v>0</v>
      </c>
      <c r="J317" s="148" t="s">
        <v>250</v>
      </c>
    </row>
    <row r="318" spans="1:10" s="93" customFormat="1" ht="12.75" customHeight="1" outlineLevel="1">
      <c r="A318" s="99"/>
      <c r="B318" s="96"/>
      <c r="C318" s="112" t="s">
        <v>339</v>
      </c>
      <c r="D318" s="133"/>
      <c r="E318" s="116">
        <v>30</v>
      </c>
      <c r="F318" s="100"/>
      <c r="G318" s="101"/>
      <c r="H318" s="102"/>
      <c r="I318" s="98"/>
      <c r="J318" s="149"/>
    </row>
    <row r="319" spans="1:10" s="93" customFormat="1" ht="12.75" customHeight="1" outlineLevel="1">
      <c r="A319" s="99"/>
      <c r="B319" s="96"/>
      <c r="C319" s="136" t="s">
        <v>338</v>
      </c>
      <c r="D319" s="134"/>
      <c r="E319" s="116">
        <v>20</v>
      </c>
      <c r="F319" s="100"/>
      <c r="G319" s="101"/>
      <c r="H319" s="102"/>
      <c r="I319" s="98"/>
      <c r="J319" s="149"/>
    </row>
    <row r="320" spans="1:10" s="93" customFormat="1" ht="12.75" customHeight="1">
      <c r="A320" s="99" t="s">
        <v>497</v>
      </c>
      <c r="B320" s="80" t="s">
        <v>340</v>
      </c>
      <c r="C320" s="81" t="s">
        <v>94</v>
      </c>
      <c r="D320" s="82" t="s">
        <v>72</v>
      </c>
      <c r="E320" s="83">
        <f>SUM(E321:E355)</f>
        <v>4510.553350000001</v>
      </c>
      <c r="F320" s="84">
        <v>0.0002</v>
      </c>
      <c r="G320" s="101">
        <f>E320*F320</f>
        <v>0.9021106700000002</v>
      </c>
      <c r="H320" s="85"/>
      <c r="I320" s="86">
        <f>E320*H320</f>
        <v>0</v>
      </c>
      <c r="J320" s="148" t="s">
        <v>250</v>
      </c>
    </row>
    <row r="321" spans="1:10" s="93" customFormat="1" ht="12.75" customHeight="1" outlineLevel="1">
      <c r="A321" s="99"/>
      <c r="B321" s="80"/>
      <c r="C321" s="112" t="s">
        <v>263</v>
      </c>
      <c r="D321" s="95"/>
      <c r="E321" s="88">
        <v>0</v>
      </c>
      <c r="F321" s="84"/>
      <c r="G321" s="101"/>
      <c r="H321" s="85"/>
      <c r="I321" s="98"/>
      <c r="J321" s="148"/>
    </row>
    <row r="322" spans="1:10" s="93" customFormat="1" ht="12.75" customHeight="1" outlineLevel="1">
      <c r="A322" s="99"/>
      <c r="B322" s="137" t="s">
        <v>176</v>
      </c>
      <c r="C322" s="112" t="s">
        <v>174</v>
      </c>
      <c r="D322" s="95"/>
      <c r="E322" s="88">
        <v>0</v>
      </c>
      <c r="F322" s="84"/>
      <c r="G322" s="101"/>
      <c r="H322" s="85"/>
      <c r="I322" s="98"/>
      <c r="J322" s="148"/>
    </row>
    <row r="323" spans="1:10" s="93" customFormat="1" ht="12.75" customHeight="1" outlineLevel="1">
      <c r="A323" s="99"/>
      <c r="B323" s="80"/>
      <c r="C323" s="112" t="s">
        <v>262</v>
      </c>
      <c r="D323" s="95"/>
      <c r="E323" s="88">
        <f>(0.44+0.3+3.46+2.35+22.24+1.2+18.84+(1.2*2+1.2)*9)*21.92+3*2*1.2</f>
        <v>1787.7616</v>
      </c>
      <c r="F323" s="84"/>
      <c r="G323" s="101"/>
      <c r="H323" s="85"/>
      <c r="I323" s="98"/>
      <c r="J323" s="148"/>
    </row>
    <row r="324" spans="1:10" s="93" customFormat="1" ht="12.75" customHeight="1" outlineLevel="1">
      <c r="A324" s="99"/>
      <c r="B324" s="80"/>
      <c r="C324" s="112" t="s">
        <v>98</v>
      </c>
      <c r="D324" s="95"/>
      <c r="E324" s="88">
        <v>0</v>
      </c>
      <c r="F324" s="84"/>
      <c r="G324" s="101"/>
      <c r="H324" s="85"/>
      <c r="I324" s="98"/>
      <c r="J324" s="148"/>
    </row>
    <row r="325" spans="1:10" s="93" customFormat="1" ht="24.75" customHeight="1" outlineLevel="1">
      <c r="A325" s="99"/>
      <c r="B325" s="80"/>
      <c r="C325" s="112" t="s">
        <v>254</v>
      </c>
      <c r="D325" s="95"/>
      <c r="E325" s="88">
        <f>((1+2*0.65)*6+(0.9+1.6*2)*8+(2.1+1.6*2)*25+(1.2+1.6*2)*49+(0.9+2.35*2)*49+(2.35+1.5*2)*7)*0.15</f>
        <v>105.98250000000003</v>
      </c>
      <c r="F325" s="84"/>
      <c r="G325" s="101"/>
      <c r="H325" s="85"/>
      <c r="I325" s="98"/>
      <c r="J325" s="148"/>
    </row>
    <row r="326" spans="1:10" s="93" customFormat="1" ht="12.75" customHeight="1" outlineLevel="1">
      <c r="A326" s="99"/>
      <c r="B326" s="80"/>
      <c r="C326" s="112" t="s">
        <v>175</v>
      </c>
      <c r="D326" s="95"/>
      <c r="E326" s="88">
        <v>0</v>
      </c>
      <c r="F326" s="84"/>
      <c r="G326" s="101"/>
      <c r="H326" s="85"/>
      <c r="I326" s="98"/>
      <c r="J326" s="148"/>
    </row>
    <row r="327" spans="1:10" s="93" customFormat="1" ht="26.25" customHeight="1" outlineLevel="1">
      <c r="A327" s="99"/>
      <c r="B327" s="80"/>
      <c r="C327" s="112" t="s">
        <v>603</v>
      </c>
      <c r="D327" s="95"/>
      <c r="E327" s="88">
        <f>(1*0.65*6+0.9*1.6*8+2.1*1.6*28+1.2*1.6*49+0.9*2.35*49+2.35*1.25*7)*-1</f>
        <v>-327.77750000000003</v>
      </c>
      <c r="F327" s="84"/>
      <c r="G327" s="101"/>
      <c r="H327" s="85"/>
      <c r="I327" s="98"/>
      <c r="J327" s="148"/>
    </row>
    <row r="328" spans="1:10" s="93" customFormat="1" ht="12.75" customHeight="1" outlineLevel="1">
      <c r="A328" s="99"/>
      <c r="B328" s="137" t="s">
        <v>256</v>
      </c>
      <c r="C328" s="112" t="s">
        <v>257</v>
      </c>
      <c r="D328" s="95"/>
      <c r="E328" s="88">
        <f>(1*2+0.2)*2.62*60+(1*2+0.2)*1.65*9</f>
        <v>378.5100000000001</v>
      </c>
      <c r="F328" s="84"/>
      <c r="G328" s="101"/>
      <c r="H328" s="85"/>
      <c r="I328" s="98"/>
      <c r="J328" s="148"/>
    </row>
    <row r="329" spans="1:10" s="93" customFormat="1" ht="12.75" customHeight="1" outlineLevel="1">
      <c r="A329" s="99"/>
      <c r="B329" s="137" t="s">
        <v>258</v>
      </c>
      <c r="C329" s="112" t="s">
        <v>259</v>
      </c>
      <c r="D329" s="95"/>
      <c r="E329" s="88">
        <f>3.6*1.2*54</f>
        <v>233.28000000000003</v>
      </c>
      <c r="F329" s="84"/>
      <c r="G329" s="101"/>
      <c r="H329" s="85"/>
      <c r="I329" s="98"/>
      <c r="J329" s="148"/>
    </row>
    <row r="330" spans="1:10" s="93" customFormat="1" ht="12.75" customHeight="1" outlineLevel="1">
      <c r="A330" s="99"/>
      <c r="B330" s="137" t="s">
        <v>260</v>
      </c>
      <c r="C330" s="112" t="s">
        <v>261</v>
      </c>
      <c r="D330" s="95"/>
      <c r="E330" s="88">
        <f>(18.03+0.3*2)*8*0.15+(7.2+0.3*2)*6*0.15</f>
        <v>29.376</v>
      </c>
      <c r="F330" s="84"/>
      <c r="G330" s="101"/>
      <c r="H330" s="85"/>
      <c r="I330" s="98"/>
      <c r="J330" s="148"/>
    </row>
    <row r="331" spans="1:10" s="93" customFormat="1" ht="12.75" customHeight="1" outlineLevel="1">
      <c r="A331" s="99"/>
      <c r="B331" s="80"/>
      <c r="C331" s="112" t="s">
        <v>264</v>
      </c>
      <c r="D331" s="95"/>
      <c r="E331" s="88">
        <v>0</v>
      </c>
      <c r="F331" s="84"/>
      <c r="G331" s="101"/>
      <c r="H331" s="85"/>
      <c r="I331" s="98"/>
      <c r="J331" s="148"/>
    </row>
    <row r="332" spans="1:10" s="93" customFormat="1" ht="12.75" customHeight="1" outlineLevel="1">
      <c r="A332" s="99"/>
      <c r="B332" s="137" t="s">
        <v>176</v>
      </c>
      <c r="C332" s="112" t="s">
        <v>174</v>
      </c>
      <c r="D332" s="95"/>
      <c r="E332" s="88">
        <v>0</v>
      </c>
      <c r="F332" s="84"/>
      <c r="G332" s="101"/>
      <c r="H332" s="85"/>
      <c r="I332" s="98"/>
      <c r="J332" s="148"/>
    </row>
    <row r="333" spans="1:10" s="93" customFormat="1" ht="12.75" customHeight="1" outlineLevel="1">
      <c r="A333" s="99"/>
      <c r="B333" s="80"/>
      <c r="C333" s="112" t="s">
        <v>265</v>
      </c>
      <c r="D333" s="95"/>
      <c r="E333" s="88">
        <f>(25.64+4.8+18.94+2.35+0.3)*22.05+3*2*1.2</f>
        <v>1154.4615000000001</v>
      </c>
      <c r="F333" s="84"/>
      <c r="G333" s="101"/>
      <c r="H333" s="85"/>
      <c r="I333" s="98"/>
      <c r="J333" s="148"/>
    </row>
    <row r="334" spans="1:10" s="93" customFormat="1" ht="12.75" customHeight="1" outlineLevel="1">
      <c r="A334" s="99"/>
      <c r="B334" s="80"/>
      <c r="C334" s="112" t="s">
        <v>98</v>
      </c>
      <c r="D334" s="95"/>
      <c r="E334" s="88">
        <v>0</v>
      </c>
      <c r="F334" s="84"/>
      <c r="G334" s="101"/>
      <c r="H334" s="85"/>
      <c r="I334" s="98"/>
      <c r="J334" s="148"/>
    </row>
    <row r="335" spans="1:10" s="93" customFormat="1" ht="12.75" customHeight="1" outlineLevel="1">
      <c r="A335" s="99"/>
      <c r="B335" s="80"/>
      <c r="C335" s="112" t="s">
        <v>266</v>
      </c>
      <c r="D335" s="95"/>
      <c r="E335" s="88">
        <f>((1+0.65*2)*7+(2.1+1.6*2)*18+(2.35+1.6*2)*6+(1.2+1.6*2)*63+(0.9+2.35*2)*63+2.35*2.2)*0.15</f>
        <v>116.99549999999999</v>
      </c>
      <c r="F335" s="84"/>
      <c r="G335" s="101"/>
      <c r="H335" s="85"/>
      <c r="I335" s="98"/>
      <c r="J335" s="148"/>
    </row>
    <row r="336" spans="1:10" s="93" customFormat="1" ht="12.75" customHeight="1" outlineLevel="1">
      <c r="A336" s="99"/>
      <c r="B336" s="80"/>
      <c r="C336" s="112" t="s">
        <v>175</v>
      </c>
      <c r="D336" s="95"/>
      <c r="E336" s="88">
        <v>0</v>
      </c>
      <c r="F336" s="84"/>
      <c r="G336" s="101"/>
      <c r="H336" s="85"/>
      <c r="I336" s="98"/>
      <c r="J336" s="148"/>
    </row>
    <row r="337" spans="1:10" s="93" customFormat="1" ht="12.75" customHeight="1" outlineLevel="1">
      <c r="A337" s="99"/>
      <c r="B337" s="80"/>
      <c r="C337" s="112" t="s">
        <v>604</v>
      </c>
      <c r="D337" s="95"/>
      <c r="E337" s="88">
        <f>(1*0.65*7+2.1*1.6*18+2.35*1.25*6+(1.52*1.6+0.9*2.35)*63+2.35*2.2)*-1</f>
        <v>-374.286</v>
      </c>
      <c r="F337" s="84"/>
      <c r="G337" s="101"/>
      <c r="H337" s="85"/>
      <c r="I337" s="98"/>
      <c r="J337" s="148"/>
    </row>
    <row r="338" spans="1:10" s="93" customFormat="1" ht="12.75" customHeight="1" outlineLevel="1">
      <c r="A338" s="99"/>
      <c r="B338" s="137" t="s">
        <v>256</v>
      </c>
      <c r="C338" s="112" t="s">
        <v>268</v>
      </c>
      <c r="D338" s="95"/>
      <c r="E338" s="88">
        <f>(1*2+0.2)*2.67*74+(1*2+0.2)*1.55*8</f>
        <v>461.9560000000001</v>
      </c>
      <c r="F338" s="84"/>
      <c r="G338" s="101"/>
      <c r="H338" s="85"/>
      <c r="I338" s="98"/>
      <c r="J338" s="148"/>
    </row>
    <row r="339" spans="1:10" s="93" customFormat="1" ht="12.75" customHeight="1" outlineLevel="1">
      <c r="A339" s="99"/>
      <c r="B339" s="137" t="s">
        <v>258</v>
      </c>
      <c r="C339" s="112" t="s">
        <v>269</v>
      </c>
      <c r="D339" s="95"/>
      <c r="E339" s="88">
        <f>3.6*1.2*70</f>
        <v>302.40000000000003</v>
      </c>
      <c r="F339" s="84"/>
      <c r="G339" s="101"/>
      <c r="H339" s="85"/>
      <c r="I339" s="98"/>
      <c r="J339" s="148"/>
    </row>
    <row r="340" spans="1:10" s="93" customFormat="1" ht="12.75" customHeight="1" outlineLevel="1">
      <c r="A340" s="99"/>
      <c r="B340" s="137" t="s">
        <v>260</v>
      </c>
      <c r="C340" s="112" t="s">
        <v>270</v>
      </c>
      <c r="D340" s="95"/>
      <c r="E340" s="88">
        <f>(25.2+0.3*2)*8*0.15+(7.2+0.3*2)*6*0.15</f>
        <v>37.980000000000004</v>
      </c>
      <c r="F340" s="84"/>
      <c r="G340" s="101"/>
      <c r="H340" s="85"/>
      <c r="I340" s="98"/>
      <c r="J340" s="148"/>
    </row>
    <row r="341" spans="1:10" s="93" customFormat="1" ht="12.75" customHeight="1" outlineLevel="1">
      <c r="A341" s="99"/>
      <c r="B341" s="137"/>
      <c r="C341" s="112" t="s">
        <v>271</v>
      </c>
      <c r="D341" s="95"/>
      <c r="E341" s="88">
        <v>0</v>
      </c>
      <c r="F341" s="84"/>
      <c r="G341" s="101"/>
      <c r="H341" s="85"/>
      <c r="I341" s="98"/>
      <c r="J341" s="148"/>
    </row>
    <row r="342" spans="1:10" s="93" customFormat="1" ht="12.75" customHeight="1" outlineLevel="1">
      <c r="A342" s="99"/>
      <c r="B342" s="137" t="s">
        <v>176</v>
      </c>
      <c r="C342" s="112" t="s">
        <v>174</v>
      </c>
      <c r="D342" s="95"/>
      <c r="E342" s="88">
        <v>0</v>
      </c>
      <c r="F342" s="84"/>
      <c r="G342" s="101"/>
      <c r="H342" s="85"/>
      <c r="I342" s="98"/>
      <c r="J342" s="148"/>
    </row>
    <row r="343" spans="1:10" s="93" customFormat="1" ht="12.75" customHeight="1" outlineLevel="1">
      <c r="A343" s="99"/>
      <c r="B343" s="80"/>
      <c r="C343" s="112" t="s">
        <v>272</v>
      </c>
      <c r="D343" s="95"/>
      <c r="E343" s="88">
        <f>(9+0.3+7.45)*20.9</f>
        <v>350.075</v>
      </c>
      <c r="F343" s="84"/>
      <c r="G343" s="101"/>
      <c r="H343" s="85"/>
      <c r="I343" s="98"/>
      <c r="J343" s="148"/>
    </row>
    <row r="344" spans="1:10" s="93" customFormat="1" ht="12.75" customHeight="1" outlineLevel="1">
      <c r="A344" s="99"/>
      <c r="B344" s="80"/>
      <c r="C344" s="112" t="s">
        <v>98</v>
      </c>
      <c r="D344" s="95"/>
      <c r="E344" s="88">
        <v>0</v>
      </c>
      <c r="F344" s="84"/>
      <c r="G344" s="101"/>
      <c r="H344" s="85"/>
      <c r="I344" s="98"/>
      <c r="J344" s="148"/>
    </row>
    <row r="345" spans="1:10" s="93" customFormat="1" ht="12.75" customHeight="1" outlineLevel="1">
      <c r="A345" s="99"/>
      <c r="B345" s="80"/>
      <c r="C345" s="112" t="s">
        <v>273</v>
      </c>
      <c r="D345" s="95"/>
      <c r="E345" s="88">
        <f>((0.9+1.6*2)*6+1.8+2.2*2)*0.15</f>
        <v>4.62</v>
      </c>
      <c r="F345" s="84"/>
      <c r="G345" s="101"/>
      <c r="H345" s="85"/>
      <c r="I345" s="98"/>
      <c r="J345" s="148"/>
    </row>
    <row r="346" spans="1:10" s="93" customFormat="1" ht="12.75" customHeight="1" outlineLevel="1">
      <c r="A346" s="99"/>
      <c r="B346" s="80"/>
      <c r="C346" s="112" t="s">
        <v>175</v>
      </c>
      <c r="D346" s="95"/>
      <c r="E346" s="88">
        <v>0</v>
      </c>
      <c r="F346" s="84"/>
      <c r="G346" s="101"/>
      <c r="H346" s="85"/>
      <c r="I346" s="98"/>
      <c r="J346" s="148"/>
    </row>
    <row r="347" spans="1:10" s="93" customFormat="1" ht="12.75" customHeight="1" outlineLevel="1">
      <c r="A347" s="99"/>
      <c r="B347" s="80"/>
      <c r="C347" s="112" t="s">
        <v>274</v>
      </c>
      <c r="D347" s="95"/>
      <c r="E347" s="88">
        <f>(0.9*1.6*6+2.2*1.8)*-1</f>
        <v>-12.600000000000001</v>
      </c>
      <c r="F347" s="84"/>
      <c r="G347" s="101"/>
      <c r="H347" s="85"/>
      <c r="I347" s="98"/>
      <c r="J347" s="148"/>
    </row>
    <row r="348" spans="1:10" s="93" customFormat="1" ht="12.75" customHeight="1" outlineLevel="1">
      <c r="A348" s="99"/>
      <c r="B348" s="137"/>
      <c r="C348" s="112" t="s">
        <v>275</v>
      </c>
      <c r="D348" s="95"/>
      <c r="E348" s="88">
        <v>0</v>
      </c>
      <c r="F348" s="84"/>
      <c r="G348" s="101"/>
      <c r="H348" s="85"/>
      <c r="I348" s="98"/>
      <c r="J348" s="148"/>
    </row>
    <row r="349" spans="1:10" s="93" customFormat="1" ht="12.75" customHeight="1" outlineLevel="1">
      <c r="A349" s="99"/>
      <c r="B349" s="137" t="s">
        <v>176</v>
      </c>
      <c r="C349" s="112" t="s">
        <v>174</v>
      </c>
      <c r="D349" s="95"/>
      <c r="E349" s="88">
        <v>0</v>
      </c>
      <c r="F349" s="84"/>
      <c r="G349" s="101"/>
      <c r="H349" s="85"/>
      <c r="I349" s="98"/>
      <c r="J349" s="148"/>
    </row>
    <row r="350" spans="1:10" s="93" customFormat="1" ht="12.75" customHeight="1" outlineLevel="1">
      <c r="A350" s="99"/>
      <c r="B350" s="80"/>
      <c r="C350" s="112" t="s">
        <v>276</v>
      </c>
      <c r="D350" s="95"/>
      <c r="E350" s="88">
        <f>(12.85+0.3)*13.025</f>
        <v>171.27875</v>
      </c>
      <c r="F350" s="84"/>
      <c r="G350" s="101"/>
      <c r="H350" s="85"/>
      <c r="I350" s="98"/>
      <c r="J350" s="148"/>
    </row>
    <row r="351" spans="1:10" s="93" customFormat="1" ht="12.75" customHeight="1" outlineLevel="1">
      <c r="A351" s="99"/>
      <c r="B351" s="80"/>
      <c r="C351" s="112" t="s">
        <v>98</v>
      </c>
      <c r="D351" s="95"/>
      <c r="E351" s="88">
        <v>0</v>
      </c>
      <c r="F351" s="84"/>
      <c r="G351" s="101"/>
      <c r="H351" s="85"/>
      <c r="I351" s="98"/>
      <c r="J351" s="148"/>
    </row>
    <row r="352" spans="1:10" s="93" customFormat="1" ht="12.75" customHeight="1" outlineLevel="1">
      <c r="A352" s="99"/>
      <c r="B352" s="80"/>
      <c r="C352" s="112" t="s">
        <v>277</v>
      </c>
      <c r="D352" s="95"/>
      <c r="E352" s="88">
        <f>(0.9+1.6*2)*4*0.15</f>
        <v>2.4600000000000004</v>
      </c>
      <c r="F352" s="84"/>
      <c r="G352" s="101"/>
      <c r="H352" s="85"/>
      <c r="I352" s="98"/>
      <c r="J352" s="148"/>
    </row>
    <row r="353" spans="1:10" s="93" customFormat="1" ht="12.75" customHeight="1" outlineLevel="1">
      <c r="A353" s="99"/>
      <c r="B353" s="80"/>
      <c r="C353" s="112" t="s">
        <v>175</v>
      </c>
      <c r="D353" s="95"/>
      <c r="E353" s="88">
        <v>0</v>
      </c>
      <c r="F353" s="84"/>
      <c r="G353" s="101"/>
      <c r="H353" s="85"/>
      <c r="I353" s="98"/>
      <c r="J353" s="148"/>
    </row>
    <row r="354" spans="1:10" s="93" customFormat="1" ht="12.75" customHeight="1" outlineLevel="1">
      <c r="A354" s="99"/>
      <c r="B354" s="80"/>
      <c r="C354" s="112" t="s">
        <v>278</v>
      </c>
      <c r="D354" s="95"/>
      <c r="E354" s="88">
        <f>(0.9*1.6*4)*-1</f>
        <v>-5.760000000000001</v>
      </c>
      <c r="F354" s="84"/>
      <c r="G354" s="101"/>
      <c r="H354" s="85"/>
      <c r="I354" s="98"/>
      <c r="J354" s="148"/>
    </row>
    <row r="355" spans="1:10" s="93" customFormat="1" ht="12.75" customHeight="1" outlineLevel="1">
      <c r="A355" s="99"/>
      <c r="B355" s="137" t="s">
        <v>279</v>
      </c>
      <c r="C355" s="112" t="s">
        <v>280</v>
      </c>
      <c r="D355" s="95"/>
      <c r="E355" s="139">
        <f>3.45*(9.35*2+4.25*2)</f>
        <v>93.84</v>
      </c>
      <c r="F355" s="84"/>
      <c r="G355" s="101"/>
      <c r="H355" s="85"/>
      <c r="I355" s="98"/>
      <c r="J355" s="148"/>
    </row>
    <row r="356" spans="1:10" s="93" customFormat="1" ht="12.75" customHeight="1" outlineLevel="1">
      <c r="A356" s="99"/>
      <c r="C356" s="112" t="s">
        <v>592</v>
      </c>
      <c r="D356" s="95"/>
      <c r="E356" s="88">
        <f>0.4*3.46</f>
        <v>1.3840000000000001</v>
      </c>
      <c r="F356" s="84"/>
      <c r="G356" s="101"/>
      <c r="H356" s="85"/>
      <c r="I356" s="98"/>
      <c r="J356" s="148"/>
    </row>
    <row r="357" spans="3:10" ht="12.75" customHeight="1">
      <c r="C357" s="91" t="str">
        <f>CONCATENATE(B41," celkem")</f>
        <v>62 celkem</v>
      </c>
      <c r="G357" s="109">
        <f>SUBTOTAL(9,G43:G356)</f>
        <v>197.49137519725002</v>
      </c>
      <c r="I357" s="92">
        <f>SUBTOTAL(9,I43:I356)</f>
        <v>0</v>
      </c>
      <c r="J357" s="148"/>
    </row>
    <row r="358" spans="3:10" s="93" customFormat="1" ht="12" customHeight="1">
      <c r="C358" s="113"/>
      <c r="G358" s="109"/>
      <c r="I358" s="110"/>
      <c r="J358" s="149"/>
    </row>
    <row r="359" spans="1:10" ht="12.75" customHeight="1">
      <c r="A359" s="93"/>
      <c r="B359" s="76" t="s">
        <v>135</v>
      </c>
      <c r="C359" s="77" t="s">
        <v>136</v>
      </c>
      <c r="G359" s="109"/>
      <c r="H359" s="93"/>
      <c r="I359" s="110"/>
      <c r="J359" s="148"/>
    </row>
    <row r="360" spans="1:10" ht="6.75" customHeight="1">
      <c r="A360" s="93"/>
      <c r="B360" s="76"/>
      <c r="C360" s="77"/>
      <c r="G360" s="109"/>
      <c r="H360" s="93"/>
      <c r="I360" s="110"/>
      <c r="J360" s="148"/>
    </row>
    <row r="361" spans="1:10" ht="12.75" customHeight="1">
      <c r="A361" s="99" t="s">
        <v>498</v>
      </c>
      <c r="B361" s="89" t="s">
        <v>137</v>
      </c>
      <c r="C361" s="81" t="s">
        <v>138</v>
      </c>
      <c r="D361" s="75" t="s">
        <v>72</v>
      </c>
      <c r="E361" s="126">
        <f>SUM(E362:E362)</f>
        <v>41.52</v>
      </c>
      <c r="F361" s="84"/>
      <c r="G361" s="101">
        <f>E361*F361</f>
        <v>0</v>
      </c>
      <c r="H361" s="85"/>
      <c r="I361" s="86">
        <f>E361*H361</f>
        <v>0</v>
      </c>
      <c r="J361" s="148" t="s">
        <v>250</v>
      </c>
    </row>
    <row r="362" spans="1:10" ht="24" customHeight="1" outlineLevel="1">
      <c r="A362" s="99"/>
      <c r="B362" s="105"/>
      <c r="C362" s="112" t="s">
        <v>341</v>
      </c>
      <c r="D362" s="87"/>
      <c r="E362" s="88">
        <f>(25.64+4.8+18.95+18.85+1.2+22.24+2.05+3.9+16.45+(1.2*2+0.2)*20)*0.25</f>
        <v>41.52</v>
      </c>
      <c r="F362" s="100"/>
      <c r="G362" s="101"/>
      <c r="H362" s="102"/>
      <c r="I362" s="98"/>
      <c r="J362" s="149"/>
    </row>
    <row r="363" spans="1:10" ht="12.75" customHeight="1">
      <c r="A363" s="99" t="s">
        <v>499</v>
      </c>
      <c r="B363" s="105" t="s">
        <v>167</v>
      </c>
      <c r="C363" s="81" t="s">
        <v>166</v>
      </c>
      <c r="D363" s="75" t="s">
        <v>72</v>
      </c>
      <c r="E363" s="126">
        <f>SUM(E364:E365)</f>
        <v>58.128</v>
      </c>
      <c r="F363" s="84">
        <v>0.00052</v>
      </c>
      <c r="G363" s="101">
        <f>E363*F363</f>
        <v>0.030226559999999996</v>
      </c>
      <c r="H363" s="85"/>
      <c r="I363" s="86">
        <f>E363*H363</f>
        <v>0</v>
      </c>
      <c r="J363" s="148" t="s">
        <v>250</v>
      </c>
    </row>
    <row r="364" spans="1:10" ht="12.75" customHeight="1" outlineLevel="1">
      <c r="A364" s="99"/>
      <c r="B364" s="105"/>
      <c r="C364" s="115" t="s">
        <v>248</v>
      </c>
      <c r="D364" s="87"/>
      <c r="E364" s="116">
        <v>0</v>
      </c>
      <c r="F364" s="100"/>
      <c r="G364" s="101"/>
      <c r="H364" s="102"/>
      <c r="I364" s="98"/>
      <c r="J364" s="149"/>
    </row>
    <row r="365" spans="1:10" ht="25.5" customHeight="1" outlineLevel="1">
      <c r="A365" s="99"/>
      <c r="B365" s="105"/>
      <c r="C365" s="112" t="s">
        <v>342</v>
      </c>
      <c r="D365" s="87"/>
      <c r="E365" s="88">
        <f>(25.64+4.8+18.95+18.85+1.2+22.24+2.05+3.9+16.45+(1.2*2+0.2)*20)*0.35</f>
        <v>58.128</v>
      </c>
      <c r="F365" s="100"/>
      <c r="G365" s="101"/>
      <c r="H365" s="102"/>
      <c r="I365" s="98"/>
      <c r="J365" s="149"/>
    </row>
    <row r="366" spans="1:10" ht="12.75" customHeight="1">
      <c r="A366" s="99" t="s">
        <v>500</v>
      </c>
      <c r="B366" s="105" t="s">
        <v>168</v>
      </c>
      <c r="C366" s="81" t="s">
        <v>226</v>
      </c>
      <c r="D366" s="75" t="s">
        <v>72</v>
      </c>
      <c r="E366" s="126">
        <f>SUM(E367:E368)</f>
        <v>41.52</v>
      </c>
      <c r="F366" s="84">
        <v>0.00598</v>
      </c>
      <c r="G366" s="101">
        <f>E366*F366</f>
        <v>0.24828960000000003</v>
      </c>
      <c r="H366" s="85"/>
      <c r="I366" s="86">
        <f>E366*H366</f>
        <v>0</v>
      </c>
      <c r="J366" s="148" t="s">
        <v>250</v>
      </c>
    </row>
    <row r="367" spans="1:10" ht="12.75" customHeight="1" outlineLevel="1">
      <c r="A367" s="99"/>
      <c r="B367" s="105"/>
      <c r="C367" s="115" t="s">
        <v>248</v>
      </c>
      <c r="D367" s="87"/>
      <c r="E367" s="116">
        <v>0</v>
      </c>
      <c r="F367" s="100"/>
      <c r="G367" s="101"/>
      <c r="H367" s="102"/>
      <c r="I367" s="98"/>
      <c r="J367" s="149"/>
    </row>
    <row r="368" spans="1:10" ht="25.5" customHeight="1" outlineLevel="1">
      <c r="A368" s="99"/>
      <c r="B368" s="105"/>
      <c r="C368" s="112" t="s">
        <v>341</v>
      </c>
      <c r="D368" s="87"/>
      <c r="E368" s="88">
        <f>(25.64+4.8+18.95+18.85+1.2+22.24+2.05+3.9+16.45+(1.2*2+0.2)*20)*0.25</f>
        <v>41.52</v>
      </c>
      <c r="F368" s="100"/>
      <c r="G368" s="101"/>
      <c r="H368" s="102"/>
      <c r="I368" s="98"/>
      <c r="J368" s="149"/>
    </row>
    <row r="369" spans="1:10" ht="12.75" customHeight="1">
      <c r="A369" s="99" t="s">
        <v>501</v>
      </c>
      <c r="B369" s="105" t="s">
        <v>402</v>
      </c>
      <c r="C369" s="81" t="s">
        <v>403</v>
      </c>
      <c r="D369" s="75" t="s">
        <v>72</v>
      </c>
      <c r="E369" s="126">
        <f>SUM(E370:E371)</f>
        <v>466.56000000000006</v>
      </c>
      <c r="F369" s="84">
        <v>0.00052</v>
      </c>
      <c r="G369" s="101">
        <f>E369*F369</f>
        <v>0.2426112</v>
      </c>
      <c r="H369" s="85"/>
      <c r="I369" s="86">
        <f>E369*H369</f>
        <v>0</v>
      </c>
      <c r="J369" s="148" t="s">
        <v>250</v>
      </c>
    </row>
    <row r="370" spans="1:10" ht="12.75" customHeight="1" outlineLevel="1">
      <c r="A370" s="99"/>
      <c r="B370" s="105"/>
      <c r="C370" s="115" t="s">
        <v>404</v>
      </c>
      <c r="D370" s="87"/>
      <c r="E370" s="116">
        <v>0</v>
      </c>
      <c r="F370" s="100"/>
      <c r="G370" s="101"/>
      <c r="H370" s="102"/>
      <c r="I370" s="98"/>
      <c r="J370" s="149"/>
    </row>
    <row r="371" spans="1:10" ht="12.75" customHeight="1" outlineLevel="1">
      <c r="A371" s="99"/>
      <c r="B371" s="105"/>
      <c r="C371" s="112" t="s">
        <v>405</v>
      </c>
      <c r="D371" s="87"/>
      <c r="E371" s="88">
        <f>3.6*1.2*108</f>
        <v>466.56000000000006</v>
      </c>
      <c r="F371" s="100"/>
      <c r="G371" s="101"/>
      <c r="H371" s="102"/>
      <c r="I371" s="98"/>
      <c r="J371" s="149"/>
    </row>
    <row r="372" spans="1:10" ht="12.75" customHeight="1">
      <c r="A372" s="99" t="s">
        <v>502</v>
      </c>
      <c r="B372" s="105" t="s">
        <v>406</v>
      </c>
      <c r="C372" s="81" t="s">
        <v>408</v>
      </c>
      <c r="D372" s="75" t="s">
        <v>72</v>
      </c>
      <c r="E372" s="126">
        <f>SUM(E373:E374)</f>
        <v>466.56000000000006</v>
      </c>
      <c r="F372" s="84">
        <v>0.00272</v>
      </c>
      <c r="G372" s="101">
        <f>E372*F372</f>
        <v>1.2690432000000003</v>
      </c>
      <c r="H372" s="85"/>
      <c r="I372" s="86">
        <f>E372*H372</f>
        <v>0</v>
      </c>
      <c r="J372" s="148" t="s">
        <v>250</v>
      </c>
    </row>
    <row r="373" spans="1:10" ht="24" customHeight="1" outlineLevel="1">
      <c r="A373" s="99"/>
      <c r="B373" s="105"/>
      <c r="C373" s="115" t="s">
        <v>407</v>
      </c>
      <c r="D373" s="87"/>
      <c r="E373" s="116">
        <v>0</v>
      </c>
      <c r="F373" s="100"/>
      <c r="G373" s="101"/>
      <c r="H373" s="102"/>
      <c r="I373" s="98"/>
      <c r="J373" s="149"/>
    </row>
    <row r="374" spans="1:10" ht="12.75" customHeight="1" outlineLevel="1">
      <c r="A374" s="99"/>
      <c r="B374" s="105"/>
      <c r="C374" s="112" t="s">
        <v>405</v>
      </c>
      <c r="D374" s="87"/>
      <c r="E374" s="88">
        <f>3.6*1.2*108</f>
        <v>466.56000000000006</v>
      </c>
      <c r="F374" s="100"/>
      <c r="G374" s="101"/>
      <c r="H374" s="102"/>
      <c r="I374" s="98"/>
      <c r="J374" s="149"/>
    </row>
    <row r="375" spans="1:10" ht="12.75" customHeight="1">
      <c r="A375" s="99" t="s">
        <v>503</v>
      </c>
      <c r="B375" s="105" t="s">
        <v>409</v>
      </c>
      <c r="C375" s="81" t="s">
        <v>410</v>
      </c>
      <c r="D375" s="75" t="s">
        <v>74</v>
      </c>
      <c r="E375" s="126">
        <f>SUM(E376:E376)</f>
        <v>388.8</v>
      </c>
      <c r="F375" s="84">
        <v>0.00272</v>
      </c>
      <c r="G375" s="101">
        <f>E375*F375</f>
        <v>1.057536</v>
      </c>
      <c r="H375" s="85"/>
      <c r="I375" s="86">
        <f>E375*H375</f>
        <v>0</v>
      </c>
      <c r="J375" s="148" t="s">
        <v>250</v>
      </c>
    </row>
    <row r="376" spans="1:10" ht="12.75" customHeight="1" outlineLevel="1">
      <c r="A376" s="99"/>
      <c r="B376" s="105"/>
      <c r="C376" s="112" t="s">
        <v>394</v>
      </c>
      <c r="D376" s="87"/>
      <c r="E376" s="88">
        <f>3.6*108</f>
        <v>388.8</v>
      </c>
      <c r="F376" s="100"/>
      <c r="G376" s="101"/>
      <c r="H376" s="102"/>
      <c r="I376" s="98"/>
      <c r="J376" s="149"/>
    </row>
    <row r="377" spans="1:10" ht="12.75" customHeight="1">
      <c r="A377" s="99" t="s">
        <v>504</v>
      </c>
      <c r="B377" s="105" t="s">
        <v>411</v>
      </c>
      <c r="C377" s="81" t="s">
        <v>431</v>
      </c>
      <c r="D377" s="75" t="s">
        <v>74</v>
      </c>
      <c r="E377" s="126">
        <f>SUM(E378:E378)</f>
        <v>604.8</v>
      </c>
      <c r="F377" s="84">
        <v>0.00011</v>
      </c>
      <c r="G377" s="101">
        <f>E377*F377</f>
        <v>0.066528</v>
      </c>
      <c r="H377" s="85"/>
      <c r="I377" s="86">
        <f>E377*H377</f>
        <v>0</v>
      </c>
      <c r="J377" s="148" t="s">
        <v>250</v>
      </c>
    </row>
    <row r="378" spans="1:10" ht="12.75" customHeight="1" outlineLevel="1">
      <c r="A378" s="99"/>
      <c r="B378" s="105"/>
      <c r="C378" s="112" t="s">
        <v>381</v>
      </c>
      <c r="D378" s="87"/>
      <c r="E378" s="88">
        <f>(3.6+1*2)*108</f>
        <v>604.8</v>
      </c>
      <c r="F378" s="100"/>
      <c r="G378" s="101"/>
      <c r="H378" s="102"/>
      <c r="I378" s="98"/>
      <c r="J378" s="149"/>
    </row>
    <row r="379" spans="1:10" ht="12.75" customHeight="1">
      <c r="A379" s="99" t="s">
        <v>505</v>
      </c>
      <c r="B379" s="127">
        <v>998711203</v>
      </c>
      <c r="C379" s="128" t="s">
        <v>343</v>
      </c>
      <c r="D379" s="75" t="s">
        <v>2</v>
      </c>
      <c r="E379" s="126">
        <v>4.45</v>
      </c>
      <c r="F379" s="84"/>
      <c r="G379" s="101">
        <f>E379*F379</f>
        <v>0</v>
      </c>
      <c r="H379" s="85"/>
      <c r="I379" s="86">
        <f>E379*H379*0.01</f>
        <v>0</v>
      </c>
      <c r="J379" s="148" t="s">
        <v>250</v>
      </c>
    </row>
    <row r="380" spans="1:10" ht="12" customHeight="1">
      <c r="A380" s="93"/>
      <c r="C380" s="91" t="str">
        <f>CONCATENATE(B359," celkem")</f>
        <v>711 celkem</v>
      </c>
      <c r="E380" s="126"/>
      <c r="F380" s="84"/>
      <c r="G380" s="109">
        <f>SUBTOTAL(9,G359:G379)</f>
        <v>2.9142345600000006</v>
      </c>
      <c r="I380" s="92">
        <f>SUBTOTAL(9,I361:I379)</f>
        <v>0</v>
      </c>
      <c r="J380" s="148"/>
    </row>
    <row r="381" spans="3:10" s="93" customFormat="1" ht="12" customHeight="1">
      <c r="C381" s="113"/>
      <c r="D381" s="103"/>
      <c r="E381" s="129"/>
      <c r="F381" s="100"/>
      <c r="G381" s="109"/>
      <c r="I381" s="110"/>
      <c r="J381" s="149"/>
    </row>
    <row r="382" spans="1:10" ht="12" customHeight="1">
      <c r="A382" s="93"/>
      <c r="B382" s="76" t="s">
        <v>179</v>
      </c>
      <c r="C382" s="77" t="s">
        <v>180</v>
      </c>
      <c r="D382" s="69"/>
      <c r="G382" s="93"/>
      <c r="J382" s="148"/>
    </row>
    <row r="383" spans="1:10" ht="6" customHeight="1">
      <c r="A383" s="93"/>
      <c r="D383" s="69"/>
      <c r="G383" s="93"/>
      <c r="J383" s="148"/>
    </row>
    <row r="384" spans="1:10" ht="12" customHeight="1">
      <c r="A384" s="99" t="s">
        <v>506</v>
      </c>
      <c r="B384" s="80" t="s">
        <v>365</v>
      </c>
      <c r="C384" s="81" t="s">
        <v>366</v>
      </c>
      <c r="D384" s="82" t="s">
        <v>72</v>
      </c>
      <c r="E384" s="83">
        <f>SUM(E385:E392)</f>
        <v>854.3860000000001</v>
      </c>
      <c r="F384" s="84">
        <v>3E-05</v>
      </c>
      <c r="G384" s="101">
        <f>E384*F384</f>
        <v>0.025631580000000004</v>
      </c>
      <c r="H384" s="85"/>
      <c r="I384" s="86">
        <f>E384*H384</f>
        <v>0</v>
      </c>
      <c r="J384" s="148" t="s">
        <v>250</v>
      </c>
    </row>
    <row r="385" spans="1:10" s="93" customFormat="1" ht="12" customHeight="1" outlineLevel="1">
      <c r="A385" s="99"/>
      <c r="B385" s="96"/>
      <c r="C385" s="112" t="s">
        <v>181</v>
      </c>
      <c r="D385" s="87"/>
      <c r="E385" s="88">
        <v>0</v>
      </c>
      <c r="F385" s="100"/>
      <c r="G385" s="101"/>
      <c r="H385" s="102"/>
      <c r="I385" s="98"/>
      <c r="J385" s="149"/>
    </row>
    <row r="386" spans="1:10" s="93" customFormat="1" ht="12" customHeight="1" outlineLevel="1">
      <c r="A386" s="99"/>
      <c r="B386" s="96"/>
      <c r="C386" s="112" t="s">
        <v>344</v>
      </c>
      <c r="D386" s="87"/>
      <c r="E386" s="116">
        <f>450.15+222.46+34.65</f>
        <v>707.26</v>
      </c>
      <c r="F386" s="100"/>
      <c r="G386" s="101"/>
      <c r="H386" s="102"/>
      <c r="I386" s="98"/>
      <c r="J386" s="149"/>
    </row>
    <row r="387" spans="1:10" s="93" customFormat="1" ht="12" customHeight="1" outlineLevel="1">
      <c r="A387" s="99"/>
      <c r="B387" s="96"/>
      <c r="C387" s="112" t="s">
        <v>182</v>
      </c>
      <c r="D387" s="87"/>
      <c r="E387" s="88">
        <v>0</v>
      </c>
      <c r="F387" s="100"/>
      <c r="G387" s="101"/>
      <c r="H387" s="102"/>
      <c r="I387" s="98"/>
      <c r="J387" s="149"/>
    </row>
    <row r="388" spans="1:10" s="93" customFormat="1" ht="12" customHeight="1" outlineLevel="1">
      <c r="A388" s="99"/>
      <c r="B388" s="96"/>
      <c r="C388" s="112" t="s">
        <v>345</v>
      </c>
      <c r="D388" s="87"/>
      <c r="E388" s="88">
        <f>(87.28+66.08+25.7)*0.35</f>
        <v>62.671</v>
      </c>
      <c r="F388" s="100"/>
      <c r="G388" s="101"/>
      <c r="H388" s="102"/>
      <c r="I388" s="98"/>
      <c r="J388" s="149"/>
    </row>
    <row r="389" spans="1:10" s="93" customFormat="1" ht="12" customHeight="1" outlineLevel="1">
      <c r="A389" s="99"/>
      <c r="B389" s="96"/>
      <c r="C389" s="112" t="s">
        <v>183</v>
      </c>
      <c r="D389" s="87"/>
      <c r="E389" s="88">
        <v>0</v>
      </c>
      <c r="F389" s="100"/>
      <c r="G389" s="101"/>
      <c r="H389" s="102"/>
      <c r="I389" s="98"/>
      <c r="J389" s="149"/>
    </row>
    <row r="390" spans="1:10" s="93" customFormat="1" ht="12" customHeight="1" outlineLevel="1">
      <c r="A390" s="99"/>
      <c r="B390" s="96"/>
      <c r="C390" s="112" t="s">
        <v>346</v>
      </c>
      <c r="D390" s="87"/>
      <c r="E390" s="88">
        <f>(87.28+66.08+25.7)*0.25</f>
        <v>44.765</v>
      </c>
      <c r="F390" s="100"/>
      <c r="G390" s="101"/>
      <c r="H390" s="102"/>
      <c r="I390" s="98"/>
      <c r="J390" s="149"/>
    </row>
    <row r="391" spans="1:10" s="93" customFormat="1" ht="12" customHeight="1" outlineLevel="1">
      <c r="A391" s="99"/>
      <c r="B391" s="96"/>
      <c r="C391" s="112" t="s">
        <v>184</v>
      </c>
      <c r="D391" s="87"/>
      <c r="E391" s="88">
        <v>0</v>
      </c>
      <c r="F391" s="100"/>
      <c r="G391" s="101"/>
      <c r="H391" s="102"/>
      <c r="I391" s="98"/>
      <c r="J391" s="149"/>
    </row>
    <row r="392" spans="1:10" s="93" customFormat="1" ht="12" customHeight="1" outlineLevel="1">
      <c r="A392" s="99"/>
      <c r="B392" s="96"/>
      <c r="C392" s="112" t="s">
        <v>347</v>
      </c>
      <c r="D392" s="87"/>
      <c r="E392" s="88">
        <f>(3.6*11+5.4*9)*0.45</f>
        <v>39.690000000000005</v>
      </c>
      <c r="F392" s="100"/>
      <c r="G392" s="101"/>
      <c r="H392" s="102"/>
      <c r="I392" s="98"/>
      <c r="J392" s="149"/>
    </row>
    <row r="393" spans="1:10" ht="21.75" customHeight="1">
      <c r="A393" s="99" t="s">
        <v>507</v>
      </c>
      <c r="B393" s="90" t="s">
        <v>349</v>
      </c>
      <c r="C393" s="81" t="s">
        <v>348</v>
      </c>
      <c r="D393" s="82" t="s">
        <v>72</v>
      </c>
      <c r="E393" s="83">
        <f>E384*1.1</f>
        <v>939.8246000000001</v>
      </c>
      <c r="F393" s="84">
        <v>0.0018</v>
      </c>
      <c r="G393" s="101">
        <f>E393*F393</f>
        <v>1.6916842800000003</v>
      </c>
      <c r="H393" s="117"/>
      <c r="I393" s="86">
        <f>E393*H393</f>
        <v>0</v>
      </c>
      <c r="J393" s="148" t="s">
        <v>250</v>
      </c>
    </row>
    <row r="394" spans="1:10" ht="12.75" customHeight="1">
      <c r="A394" s="99" t="s">
        <v>151</v>
      </c>
      <c r="B394" s="80" t="s">
        <v>185</v>
      </c>
      <c r="C394" s="81" t="s">
        <v>186</v>
      </c>
      <c r="D394" s="82" t="s">
        <v>74</v>
      </c>
      <c r="E394" s="83">
        <f>SUM(E395:E397)</f>
        <v>815.3800000000001</v>
      </c>
      <c r="F394" s="84">
        <v>5E-05</v>
      </c>
      <c r="G394" s="101">
        <f>E394*F394</f>
        <v>0.04076900000000001</v>
      </c>
      <c r="H394" s="117"/>
      <c r="I394" s="86">
        <f>E394*H394</f>
        <v>0</v>
      </c>
      <c r="J394" s="148" t="s">
        <v>250</v>
      </c>
    </row>
    <row r="395" spans="1:10" s="93" customFormat="1" ht="24" customHeight="1" outlineLevel="1">
      <c r="A395" s="118"/>
      <c r="B395" s="96"/>
      <c r="C395" s="112" t="s">
        <v>187</v>
      </c>
      <c r="D395" s="140"/>
      <c r="E395" s="116"/>
      <c r="F395" s="100"/>
      <c r="G395" s="101"/>
      <c r="H395" s="119"/>
      <c r="I395" s="98"/>
      <c r="J395" s="149"/>
    </row>
    <row r="396" spans="1:10" s="93" customFormat="1" ht="12.75" customHeight="1" outlineLevel="1">
      <c r="A396" s="118"/>
      <c r="B396" s="96"/>
      <c r="C396" s="112" t="s">
        <v>360</v>
      </c>
      <c r="D396" s="140"/>
      <c r="E396" s="116">
        <f>(87.28+66.08+25.7)*3+9.35+4.25</f>
        <v>550.7800000000001</v>
      </c>
      <c r="F396" s="100"/>
      <c r="G396" s="101"/>
      <c r="H396" s="119"/>
      <c r="I396" s="98"/>
      <c r="J396" s="149"/>
    </row>
    <row r="397" spans="1:10" s="93" customFormat="1" ht="12.75" customHeight="1" outlineLevel="1">
      <c r="A397" s="118"/>
      <c r="B397" s="96"/>
      <c r="C397" s="112" t="s">
        <v>359</v>
      </c>
      <c r="D397" s="140"/>
      <c r="E397" s="116">
        <f>(3.6*11+5.4*9)*3</f>
        <v>264.6</v>
      </c>
      <c r="F397" s="100"/>
      <c r="G397" s="101"/>
      <c r="H397" s="119"/>
      <c r="I397" s="98"/>
      <c r="J397" s="149"/>
    </row>
    <row r="398" spans="1:10" ht="24" customHeight="1">
      <c r="A398" s="99" t="s">
        <v>508</v>
      </c>
      <c r="B398" s="90" t="s">
        <v>352</v>
      </c>
      <c r="C398" s="81" t="s">
        <v>187</v>
      </c>
      <c r="D398" s="82" t="s">
        <v>74</v>
      </c>
      <c r="E398" s="83">
        <f>SUM(E399:E400)</f>
        <v>267.26</v>
      </c>
      <c r="F398" s="84">
        <v>0.0018</v>
      </c>
      <c r="G398" s="101">
        <f>E398*F398</f>
        <v>0.481068</v>
      </c>
      <c r="H398" s="117"/>
      <c r="I398" s="86">
        <f>E398*H398</f>
        <v>0</v>
      </c>
      <c r="J398" s="148" t="s">
        <v>250</v>
      </c>
    </row>
    <row r="399" spans="1:10" s="93" customFormat="1" ht="12.75" customHeight="1" outlineLevel="1">
      <c r="A399" s="118"/>
      <c r="B399" s="134" t="s">
        <v>205</v>
      </c>
      <c r="C399" s="112" t="s">
        <v>351</v>
      </c>
      <c r="D399" s="140"/>
      <c r="E399" s="116">
        <v>0</v>
      </c>
      <c r="F399" s="100"/>
      <c r="G399" s="101"/>
      <c r="H399" s="119"/>
      <c r="I399" s="98"/>
      <c r="J399" s="149"/>
    </row>
    <row r="400" spans="1:10" s="93" customFormat="1" ht="12.75" customHeight="1" outlineLevel="1">
      <c r="A400" s="118"/>
      <c r="B400" s="96"/>
      <c r="C400" s="112" t="s">
        <v>350</v>
      </c>
      <c r="D400" s="140"/>
      <c r="E400" s="116">
        <f>87.28+66.08+25.7+3.6*11+5.4*9</f>
        <v>267.26</v>
      </c>
      <c r="F400" s="100"/>
      <c r="G400" s="101"/>
      <c r="H400" s="119"/>
      <c r="I400" s="98"/>
      <c r="J400" s="149"/>
    </row>
    <row r="401" spans="1:10" ht="24" customHeight="1">
      <c r="A401" s="99" t="s">
        <v>509</v>
      </c>
      <c r="B401" s="90" t="s">
        <v>353</v>
      </c>
      <c r="C401" s="81" t="s">
        <v>187</v>
      </c>
      <c r="D401" s="82" t="s">
        <v>74</v>
      </c>
      <c r="E401" s="83">
        <f>SUM(E402:E403)</f>
        <v>267.26</v>
      </c>
      <c r="F401" s="84">
        <v>0.0018</v>
      </c>
      <c r="G401" s="101">
        <f>E401*F401</f>
        <v>0.481068</v>
      </c>
      <c r="H401" s="117"/>
      <c r="I401" s="86">
        <f>E401*H401</f>
        <v>0</v>
      </c>
      <c r="J401" s="148" t="s">
        <v>250</v>
      </c>
    </row>
    <row r="402" spans="1:10" s="93" customFormat="1" ht="12.75" customHeight="1" outlineLevel="1">
      <c r="A402" s="118"/>
      <c r="B402" s="134" t="s">
        <v>206</v>
      </c>
      <c r="C402" s="112" t="s">
        <v>355</v>
      </c>
      <c r="D402" s="140"/>
      <c r="E402" s="116">
        <v>0</v>
      </c>
      <c r="F402" s="100"/>
      <c r="G402" s="101"/>
      <c r="H402" s="119"/>
      <c r="I402" s="98"/>
      <c r="J402" s="149"/>
    </row>
    <row r="403" spans="1:10" s="93" customFormat="1" ht="12.75" customHeight="1" outlineLevel="1">
      <c r="A403" s="118"/>
      <c r="B403" s="96"/>
      <c r="C403" s="112" t="s">
        <v>350</v>
      </c>
      <c r="D403" s="140"/>
      <c r="E403" s="116">
        <f>87.28+66.08+25.7+3.6*11+5.4*9</f>
        <v>267.26</v>
      </c>
      <c r="F403" s="100"/>
      <c r="G403" s="101"/>
      <c r="H403" s="119"/>
      <c r="I403" s="98"/>
      <c r="J403" s="149"/>
    </row>
    <row r="404" spans="1:10" ht="24" customHeight="1">
      <c r="A404" s="99" t="s">
        <v>510</v>
      </c>
      <c r="B404" s="90" t="s">
        <v>354</v>
      </c>
      <c r="C404" s="81" t="s">
        <v>187</v>
      </c>
      <c r="D404" s="82" t="s">
        <v>74</v>
      </c>
      <c r="E404" s="83">
        <f>SUM(E405:E406)</f>
        <v>267.26</v>
      </c>
      <c r="F404" s="84">
        <v>0.0018</v>
      </c>
      <c r="G404" s="101">
        <f>E404*F404</f>
        <v>0.481068</v>
      </c>
      <c r="H404" s="117"/>
      <c r="I404" s="86">
        <f>E404*H404</f>
        <v>0</v>
      </c>
      <c r="J404" s="148" t="s">
        <v>250</v>
      </c>
    </row>
    <row r="405" spans="1:10" s="93" customFormat="1" ht="12.75" customHeight="1" outlineLevel="1">
      <c r="A405" s="118"/>
      <c r="B405" s="134" t="s">
        <v>207</v>
      </c>
      <c r="C405" s="112" t="s">
        <v>356</v>
      </c>
      <c r="D405" s="140"/>
      <c r="E405" s="116">
        <v>0</v>
      </c>
      <c r="F405" s="100"/>
      <c r="G405" s="101"/>
      <c r="H405" s="119"/>
      <c r="I405" s="98"/>
      <c r="J405" s="149"/>
    </row>
    <row r="406" spans="1:10" s="93" customFormat="1" ht="12.75" customHeight="1" outlineLevel="1">
      <c r="A406" s="118"/>
      <c r="B406" s="96"/>
      <c r="C406" s="112" t="s">
        <v>350</v>
      </c>
      <c r="D406" s="140"/>
      <c r="E406" s="116">
        <f>87.28+66.08+25.7+3.6*11+5.4*9</f>
        <v>267.26</v>
      </c>
      <c r="F406" s="100"/>
      <c r="G406" s="101"/>
      <c r="H406" s="119"/>
      <c r="I406" s="98"/>
      <c r="J406" s="149"/>
    </row>
    <row r="407" spans="1:10" ht="24" customHeight="1">
      <c r="A407" s="99" t="s">
        <v>511</v>
      </c>
      <c r="B407" s="90" t="s">
        <v>357</v>
      </c>
      <c r="C407" s="81" t="s">
        <v>187</v>
      </c>
      <c r="D407" s="82" t="s">
        <v>74</v>
      </c>
      <c r="E407" s="83">
        <f>SUM(E408:E408)</f>
        <v>13.6</v>
      </c>
      <c r="F407" s="84">
        <v>0.0018</v>
      </c>
      <c r="G407" s="101">
        <f>E407*F407</f>
        <v>0.02448</v>
      </c>
      <c r="H407" s="117"/>
      <c r="I407" s="86">
        <f>E407*H407</f>
        <v>0</v>
      </c>
      <c r="J407" s="148" t="s">
        <v>250</v>
      </c>
    </row>
    <row r="408" spans="1:10" s="93" customFormat="1" ht="12.75" customHeight="1" outlineLevel="1">
      <c r="A408" s="118"/>
      <c r="B408" s="134" t="s">
        <v>208</v>
      </c>
      <c r="C408" s="112" t="s">
        <v>358</v>
      </c>
      <c r="D408" s="140"/>
      <c r="E408" s="116">
        <f>9.35+4.25</f>
        <v>13.6</v>
      </c>
      <c r="F408" s="100"/>
      <c r="G408" s="101"/>
      <c r="H408" s="119"/>
      <c r="I408" s="98"/>
      <c r="J408" s="149"/>
    </row>
    <row r="409" spans="1:10" ht="12" customHeight="1">
      <c r="A409" s="99" t="s">
        <v>512</v>
      </c>
      <c r="B409" s="80" t="s">
        <v>188</v>
      </c>
      <c r="C409" s="81" t="s">
        <v>189</v>
      </c>
      <c r="D409" s="82" t="s">
        <v>2</v>
      </c>
      <c r="E409" s="94">
        <v>0.0344</v>
      </c>
      <c r="F409" s="84">
        <v>0</v>
      </c>
      <c r="G409" s="101">
        <f>E409*F409</f>
        <v>0</v>
      </c>
      <c r="H409" s="85"/>
      <c r="I409" s="86">
        <f>E409*H409</f>
        <v>0</v>
      </c>
      <c r="J409" s="148" t="s">
        <v>250</v>
      </c>
    </row>
    <row r="410" spans="1:10" ht="12.75" customHeight="1">
      <c r="A410" s="93"/>
      <c r="C410" s="91" t="str">
        <f>CONCATENATE(B382," celkem")</f>
        <v>712 celkem</v>
      </c>
      <c r="D410" s="69"/>
      <c r="G410" s="109">
        <f>SUBTOTAL(9,G384:G409)</f>
        <v>3.2257688600000005</v>
      </c>
      <c r="I410" s="92">
        <f>SUBTOTAL(9,I384:I409)</f>
        <v>0</v>
      </c>
      <c r="J410" s="148"/>
    </row>
    <row r="411" spans="3:10" s="93" customFormat="1" ht="11.25">
      <c r="C411" s="113"/>
      <c r="D411" s="103"/>
      <c r="E411" s="129"/>
      <c r="F411" s="100"/>
      <c r="G411" s="109"/>
      <c r="I411" s="110"/>
      <c r="J411" s="149"/>
    </row>
    <row r="412" spans="1:10" ht="12.75" customHeight="1">
      <c r="A412" s="93"/>
      <c r="B412" s="76" t="s">
        <v>163</v>
      </c>
      <c r="C412" s="77" t="s">
        <v>164</v>
      </c>
      <c r="G412" s="109"/>
      <c r="H412" s="93"/>
      <c r="I412" s="110"/>
      <c r="J412" s="148"/>
    </row>
    <row r="413" spans="1:10" ht="6.75" customHeight="1">
      <c r="A413" s="93"/>
      <c r="B413" s="76"/>
      <c r="C413" s="77"/>
      <c r="G413" s="109"/>
      <c r="H413" s="93"/>
      <c r="I413" s="110"/>
      <c r="J413" s="148"/>
    </row>
    <row r="414" spans="1:10" ht="12.75" customHeight="1">
      <c r="A414" s="99" t="s">
        <v>513</v>
      </c>
      <c r="B414" s="80" t="s">
        <v>395</v>
      </c>
      <c r="C414" s="81" t="s">
        <v>396</v>
      </c>
      <c r="D414" s="82" t="s">
        <v>72</v>
      </c>
      <c r="E414" s="83">
        <f>SUM(E415:E416)</f>
        <v>194.4</v>
      </c>
      <c r="F414" s="84">
        <v>0.00033</v>
      </c>
      <c r="G414" s="101">
        <f>E414*F414</f>
        <v>0.064152</v>
      </c>
      <c r="H414" s="85"/>
      <c r="I414" s="86">
        <f>E414*H414</f>
        <v>0</v>
      </c>
      <c r="J414" s="148" t="s">
        <v>250</v>
      </c>
    </row>
    <row r="415" spans="1:10" s="93" customFormat="1" ht="12.75" customHeight="1" outlineLevel="1">
      <c r="A415" s="99"/>
      <c r="B415" s="96"/>
      <c r="C415" s="112" t="s">
        <v>397</v>
      </c>
      <c r="D415" s="87"/>
      <c r="E415" s="88">
        <v>0</v>
      </c>
      <c r="F415" s="100"/>
      <c r="G415" s="101"/>
      <c r="H415" s="102"/>
      <c r="I415" s="98"/>
      <c r="J415" s="149"/>
    </row>
    <row r="416" spans="1:10" s="93" customFormat="1" ht="12.75" customHeight="1" outlineLevel="1">
      <c r="A416" s="99"/>
      <c r="B416" s="96"/>
      <c r="C416" s="112" t="s">
        <v>398</v>
      </c>
      <c r="D416" s="87"/>
      <c r="E416" s="116">
        <f>0.5*3.6*108</f>
        <v>194.4</v>
      </c>
      <c r="F416" s="100"/>
      <c r="G416" s="101"/>
      <c r="H416" s="102"/>
      <c r="I416" s="98"/>
      <c r="J416" s="149"/>
    </row>
    <row r="417" spans="1:10" ht="12.75" customHeight="1">
      <c r="A417" s="99" t="s">
        <v>514</v>
      </c>
      <c r="B417" s="90" t="s">
        <v>399</v>
      </c>
      <c r="C417" s="81" t="s">
        <v>400</v>
      </c>
      <c r="D417" s="82" t="s">
        <v>72</v>
      </c>
      <c r="E417" s="83">
        <f>SUM(E418:E418)</f>
        <v>213.84000000000003</v>
      </c>
      <c r="F417" s="84">
        <v>0.0014</v>
      </c>
      <c r="G417" s="101">
        <f>E417*F417</f>
        <v>0.29937600000000003</v>
      </c>
      <c r="H417" s="121"/>
      <c r="I417" s="86">
        <f>E417*H417</f>
        <v>0</v>
      </c>
      <c r="J417" s="148" t="s">
        <v>250</v>
      </c>
    </row>
    <row r="418" spans="1:10" ht="12.75" customHeight="1" outlineLevel="1">
      <c r="A418" s="99"/>
      <c r="B418" s="90"/>
      <c r="C418" s="112" t="s">
        <v>401</v>
      </c>
      <c r="D418" s="141"/>
      <c r="E418" s="88">
        <f>0.5*3.6*108*1.1</f>
        <v>213.84000000000003</v>
      </c>
      <c r="F418" s="84"/>
      <c r="G418" s="101"/>
      <c r="H418" s="117"/>
      <c r="I418" s="98"/>
      <c r="J418" s="148"/>
    </row>
    <row r="419" spans="1:10" ht="12.75" customHeight="1">
      <c r="A419" s="99" t="s">
        <v>515</v>
      </c>
      <c r="B419" s="80" t="s">
        <v>444</v>
      </c>
      <c r="C419" s="81" t="s">
        <v>445</v>
      </c>
      <c r="D419" s="82" t="s">
        <v>72</v>
      </c>
      <c r="E419" s="83">
        <f>SUM(E420:E423)</f>
        <v>81.281</v>
      </c>
      <c r="F419" s="84">
        <v>0.00033</v>
      </c>
      <c r="G419" s="101">
        <f>E419*F419</f>
        <v>0.026822730000000003</v>
      </c>
      <c r="H419" s="85"/>
      <c r="I419" s="86">
        <f>E419*H419</f>
        <v>0</v>
      </c>
      <c r="J419" s="148" t="s">
        <v>250</v>
      </c>
    </row>
    <row r="420" spans="1:10" s="93" customFormat="1" ht="12.75" customHeight="1" outlineLevel="1">
      <c r="A420" s="99"/>
      <c r="B420" s="96"/>
      <c r="C420" s="112" t="s">
        <v>447</v>
      </c>
      <c r="D420" s="87"/>
      <c r="E420" s="88">
        <v>0</v>
      </c>
      <c r="F420" s="100"/>
      <c r="G420" s="101"/>
      <c r="H420" s="102"/>
      <c r="I420" s="98"/>
      <c r="J420" s="149"/>
    </row>
    <row r="421" spans="1:10" s="93" customFormat="1" ht="12.75" customHeight="1" outlineLevel="1">
      <c r="A421" s="99"/>
      <c r="B421" s="96"/>
      <c r="C421" s="112" t="s">
        <v>446</v>
      </c>
      <c r="D421" s="87"/>
      <c r="E421" s="88">
        <f>0.18*3.6*108</f>
        <v>69.98400000000001</v>
      </c>
      <c r="F421" s="100"/>
      <c r="G421" s="101"/>
      <c r="H421" s="102"/>
      <c r="I421" s="98"/>
      <c r="J421" s="149"/>
    </row>
    <row r="422" spans="1:10" s="93" customFormat="1" ht="12.75" customHeight="1" outlineLevel="1">
      <c r="A422" s="99"/>
      <c r="B422" s="96"/>
      <c r="C422" s="112" t="s">
        <v>448</v>
      </c>
      <c r="D422" s="87"/>
      <c r="E422" s="88">
        <v>0</v>
      </c>
      <c r="F422" s="100"/>
      <c r="G422" s="101"/>
      <c r="H422" s="102"/>
      <c r="I422" s="98"/>
      <c r="J422" s="149"/>
    </row>
    <row r="423" spans="1:10" s="93" customFormat="1" ht="12.75" customHeight="1" outlineLevel="1">
      <c r="A423" s="99"/>
      <c r="B423" s="96"/>
      <c r="C423" s="112" t="s">
        <v>449</v>
      </c>
      <c r="D423" s="87"/>
      <c r="E423" s="88">
        <f>0.1*(45.4+67.57)</f>
        <v>11.297</v>
      </c>
      <c r="F423" s="100"/>
      <c r="G423" s="101"/>
      <c r="H423" s="102"/>
      <c r="I423" s="98"/>
      <c r="J423" s="149"/>
    </row>
    <row r="424" spans="1:10" ht="12.75" customHeight="1">
      <c r="A424" s="99" t="s">
        <v>516</v>
      </c>
      <c r="B424" s="90" t="s">
        <v>450</v>
      </c>
      <c r="C424" s="81" t="s">
        <v>451</v>
      </c>
      <c r="D424" s="82" t="s">
        <v>72</v>
      </c>
      <c r="E424" s="83">
        <f>E425</f>
        <v>76.98240000000001</v>
      </c>
      <c r="F424" s="84">
        <v>0.0014</v>
      </c>
      <c r="G424" s="101">
        <f>E424*F424</f>
        <v>0.10777536000000001</v>
      </c>
      <c r="H424" s="121"/>
      <c r="I424" s="86">
        <f>E424*H424</f>
        <v>0</v>
      </c>
      <c r="J424" s="148" t="s">
        <v>250</v>
      </c>
    </row>
    <row r="425" spans="1:10" ht="12.75" customHeight="1" outlineLevel="1">
      <c r="A425" s="99"/>
      <c r="B425" s="90"/>
      <c r="C425" s="112" t="s">
        <v>452</v>
      </c>
      <c r="D425" s="141"/>
      <c r="E425" s="88">
        <f>(0.18*3.6*108)*1.1</f>
        <v>76.98240000000001</v>
      </c>
      <c r="F425" s="84"/>
      <c r="G425" s="101"/>
      <c r="H425" s="117"/>
      <c r="I425" s="98"/>
      <c r="J425" s="148"/>
    </row>
    <row r="426" spans="1:10" ht="12.75" customHeight="1">
      <c r="A426" s="99" t="s">
        <v>517</v>
      </c>
      <c r="B426" s="90" t="s">
        <v>453</v>
      </c>
      <c r="C426" s="81" t="s">
        <v>454</v>
      </c>
      <c r="D426" s="82" t="s">
        <v>72</v>
      </c>
      <c r="E426" s="83">
        <f>E427</f>
        <v>12.426700000000002</v>
      </c>
      <c r="F426" s="84">
        <v>0.0014</v>
      </c>
      <c r="G426" s="101">
        <f>E426*F426</f>
        <v>0.017397380000000004</v>
      </c>
      <c r="H426" s="121"/>
      <c r="I426" s="86">
        <f>E426*H426</f>
        <v>0</v>
      </c>
      <c r="J426" s="148" t="s">
        <v>250</v>
      </c>
    </row>
    <row r="427" spans="1:10" ht="12.75" customHeight="1" outlineLevel="1">
      <c r="A427" s="99"/>
      <c r="B427" s="90"/>
      <c r="C427" s="112" t="s">
        <v>455</v>
      </c>
      <c r="D427" s="141"/>
      <c r="E427" s="88">
        <f>(0.1*(45.4+67.57))*1.1</f>
        <v>12.426700000000002</v>
      </c>
      <c r="F427" s="84"/>
      <c r="G427" s="101"/>
      <c r="H427" s="117"/>
      <c r="I427" s="98"/>
      <c r="J427" s="148"/>
    </row>
    <row r="428" spans="1:10" ht="12.75" customHeight="1">
      <c r="A428" s="163" t="s">
        <v>518</v>
      </c>
      <c r="B428" s="80" t="s">
        <v>363</v>
      </c>
      <c r="C428" s="81" t="s">
        <v>191</v>
      </c>
      <c r="D428" s="82" t="s">
        <v>72</v>
      </c>
      <c r="E428" s="83">
        <f>SUM(E429:E431)</f>
        <v>1379.8700000000001</v>
      </c>
      <c r="F428" s="84">
        <v>0.00033</v>
      </c>
      <c r="G428" s="101">
        <f>E428*F428</f>
        <v>0.4553571</v>
      </c>
      <c r="H428" s="85"/>
      <c r="I428" s="86">
        <f>E428*H428</f>
        <v>0</v>
      </c>
      <c r="J428" s="148" t="s">
        <v>250</v>
      </c>
    </row>
    <row r="429" spans="1:10" s="93" customFormat="1" ht="12.75" customHeight="1" outlineLevel="1">
      <c r="A429" s="99"/>
      <c r="B429" s="96"/>
      <c r="C429" s="112" t="s">
        <v>361</v>
      </c>
      <c r="D429" s="87"/>
      <c r="E429" s="88">
        <v>0</v>
      </c>
      <c r="F429" s="100"/>
      <c r="G429" s="101"/>
      <c r="H429" s="102"/>
      <c r="I429" s="98"/>
      <c r="J429" s="149"/>
    </row>
    <row r="430" spans="1:10" s="93" customFormat="1" ht="36.75" customHeight="1" outlineLevel="1">
      <c r="A430" s="99"/>
      <c r="B430" s="96"/>
      <c r="C430" s="150" t="s">
        <v>362</v>
      </c>
      <c r="D430" s="87"/>
      <c r="E430" s="88"/>
      <c r="F430" s="100"/>
      <c r="G430" s="101"/>
      <c r="H430" s="102"/>
      <c r="I430" s="98"/>
      <c r="J430" s="149"/>
    </row>
    <row r="431" spans="1:10" s="93" customFormat="1" ht="12.75" customHeight="1" outlineLevel="1">
      <c r="A431" s="99"/>
      <c r="B431" s="96"/>
      <c r="C431" s="112" t="s">
        <v>585</v>
      </c>
      <c r="D431" s="87"/>
      <c r="E431" s="116">
        <f>(450.15+222.46)*2+34.65</f>
        <v>1379.8700000000001</v>
      </c>
      <c r="F431" s="100"/>
      <c r="G431" s="101"/>
      <c r="H431" s="102"/>
      <c r="I431" s="98"/>
      <c r="J431" s="149"/>
    </row>
    <row r="432" spans="1:10" ht="12.75" customHeight="1">
      <c r="A432" s="163" t="s">
        <v>575</v>
      </c>
      <c r="B432" s="90" t="s">
        <v>433</v>
      </c>
      <c r="C432" s="81" t="s">
        <v>364</v>
      </c>
      <c r="D432" s="82" t="s">
        <v>90</v>
      </c>
      <c r="E432" s="83">
        <f>SUM(E433:E434)</f>
        <v>151.78570000000002</v>
      </c>
      <c r="F432" s="84">
        <v>0.02</v>
      </c>
      <c r="G432" s="101">
        <f>E432*F432</f>
        <v>3.0357140000000005</v>
      </c>
      <c r="H432" s="121"/>
      <c r="I432" s="86">
        <f>E432*H432</f>
        <v>0</v>
      </c>
      <c r="J432" s="148" t="s">
        <v>250</v>
      </c>
    </row>
    <row r="433" spans="1:10" ht="31.5" customHeight="1" outlineLevel="1">
      <c r="A433" s="99"/>
      <c r="B433" s="90"/>
      <c r="C433" s="287" t="s">
        <v>432</v>
      </c>
      <c r="D433" s="287"/>
      <c r="E433" s="116">
        <v>0</v>
      </c>
      <c r="F433" s="84"/>
      <c r="G433" s="101"/>
      <c r="H433" s="117"/>
      <c r="I433" s="98"/>
      <c r="J433" s="148"/>
    </row>
    <row r="434" spans="1:10" ht="12.75" customHeight="1" outlineLevel="1">
      <c r="A434" s="99"/>
      <c r="B434" s="90"/>
      <c r="C434" s="112" t="s">
        <v>586</v>
      </c>
      <c r="D434" s="141"/>
      <c r="E434" s="88">
        <f>(450.15*0.2+222.46*0.2+34.65*0.1)*1.1</f>
        <v>151.78570000000002</v>
      </c>
      <c r="F434" s="84"/>
      <c r="G434" s="101"/>
      <c r="H434" s="117"/>
      <c r="I434" s="98"/>
      <c r="J434" s="148"/>
    </row>
    <row r="435" spans="1:10" ht="12.75" customHeight="1">
      <c r="A435" s="99" t="s">
        <v>519</v>
      </c>
      <c r="B435" s="90" t="s">
        <v>192</v>
      </c>
      <c r="C435" s="81" t="s">
        <v>193</v>
      </c>
      <c r="D435" s="82" t="s">
        <v>73</v>
      </c>
      <c r="E435" s="83">
        <f>E437</f>
        <v>38.88</v>
      </c>
      <c r="F435" s="84">
        <v>0</v>
      </c>
      <c r="G435" s="101">
        <f>E435*F435</f>
        <v>0</v>
      </c>
      <c r="H435" s="85"/>
      <c r="I435" s="86">
        <f>E435*H435</f>
        <v>0</v>
      </c>
      <c r="J435" s="148" t="s">
        <v>250</v>
      </c>
    </row>
    <row r="436" spans="1:10" ht="46.5" customHeight="1" outlineLevel="1">
      <c r="A436" s="99"/>
      <c r="B436" s="90"/>
      <c r="C436" s="112" t="s">
        <v>194</v>
      </c>
      <c r="D436" s="87"/>
      <c r="E436" s="88">
        <v>0</v>
      </c>
      <c r="F436" s="84"/>
      <c r="G436" s="101"/>
      <c r="H436" s="85"/>
      <c r="I436" s="98"/>
      <c r="J436" s="148"/>
    </row>
    <row r="437" spans="1:10" ht="12.75" customHeight="1" outlineLevel="1">
      <c r="A437" s="99"/>
      <c r="B437" s="90"/>
      <c r="C437" s="112" t="s">
        <v>587</v>
      </c>
      <c r="D437" s="87"/>
      <c r="E437" s="88">
        <f>E416*0.2</f>
        <v>38.88</v>
      </c>
      <c r="F437" s="84"/>
      <c r="G437" s="101"/>
      <c r="H437" s="117"/>
      <c r="I437" s="98"/>
      <c r="J437" s="148"/>
    </row>
    <row r="438" spans="1:10" ht="22.5" hidden="1">
      <c r="A438" s="99"/>
      <c r="B438" s="105"/>
      <c r="C438" s="112" t="s">
        <v>195</v>
      </c>
      <c r="D438" s="87"/>
      <c r="E438" s="88">
        <v>0</v>
      </c>
      <c r="F438" s="100"/>
      <c r="G438" s="101"/>
      <c r="H438" s="102"/>
      <c r="I438" s="98"/>
      <c r="J438" s="149"/>
    </row>
    <row r="439" spans="1:10" ht="11.25" hidden="1">
      <c r="A439" s="99"/>
      <c r="B439" s="105"/>
      <c r="C439" s="112" t="s">
        <v>196</v>
      </c>
      <c r="D439" s="87"/>
      <c r="E439" s="88" t="e">
        <f>#REF!*1.1</f>
        <v>#REF!</v>
      </c>
      <c r="F439" s="100"/>
      <c r="G439" s="101"/>
      <c r="H439" s="102"/>
      <c r="I439" s="98"/>
      <c r="J439" s="149"/>
    </row>
    <row r="440" spans="1:10" ht="11.25">
      <c r="A440" s="103">
        <v>52</v>
      </c>
      <c r="B440" s="127" t="s">
        <v>172</v>
      </c>
      <c r="C440" s="128" t="s">
        <v>173</v>
      </c>
      <c r="D440" s="75" t="s">
        <v>2</v>
      </c>
      <c r="E440" s="126">
        <v>0.0235</v>
      </c>
      <c r="F440" s="84"/>
      <c r="G440" s="101">
        <f>E440*F440</f>
        <v>0</v>
      </c>
      <c r="H440" s="85"/>
      <c r="I440" s="86">
        <f>E440*H440</f>
        <v>0</v>
      </c>
      <c r="J440" s="148" t="s">
        <v>250</v>
      </c>
    </row>
    <row r="441" spans="1:10" ht="11.25">
      <c r="A441" s="93"/>
      <c r="C441" s="91" t="str">
        <f>CONCATENATE(B412," celkem")</f>
        <v>713 celkem</v>
      </c>
      <c r="E441" s="126"/>
      <c r="F441" s="84"/>
      <c r="G441" s="109">
        <f>SUBTOTAL(9,G412:G440)</f>
        <v>4.006594570000001</v>
      </c>
      <c r="I441" s="92">
        <f>SUBTOTAL(9,I414:I440)</f>
        <v>0</v>
      </c>
      <c r="J441" s="148"/>
    </row>
    <row r="442" spans="3:10" s="93" customFormat="1" ht="12.75" customHeight="1">
      <c r="C442" s="113"/>
      <c r="G442" s="109"/>
      <c r="I442" s="110"/>
      <c r="J442" s="149"/>
    </row>
    <row r="443" spans="1:10" ht="12.75" customHeight="1">
      <c r="A443" s="93"/>
      <c r="B443" s="76" t="s">
        <v>102</v>
      </c>
      <c r="C443" s="77" t="s">
        <v>103</v>
      </c>
      <c r="D443" s="69"/>
      <c r="G443" s="93"/>
      <c r="J443" s="148"/>
    </row>
    <row r="444" spans="1:10" ht="6" customHeight="1">
      <c r="A444" s="93"/>
      <c r="D444" s="69"/>
      <c r="G444" s="93"/>
      <c r="J444" s="148"/>
    </row>
    <row r="445" spans="1:10" s="93" customFormat="1" ht="12.75" customHeight="1">
      <c r="A445" s="99" t="s">
        <v>520</v>
      </c>
      <c r="B445" s="155" t="s">
        <v>442</v>
      </c>
      <c r="C445" s="144" t="s">
        <v>443</v>
      </c>
      <c r="D445" s="75" t="s">
        <v>74</v>
      </c>
      <c r="E445" s="83">
        <f>SUM(E446:E447)</f>
        <v>388.8</v>
      </c>
      <c r="F445" s="84">
        <v>0.00142</v>
      </c>
      <c r="G445" s="101">
        <f>E445*F445</f>
        <v>0.552096</v>
      </c>
      <c r="H445" s="85"/>
      <c r="I445" s="86">
        <f>E445*H445</f>
        <v>0</v>
      </c>
      <c r="J445" s="148" t="s">
        <v>250</v>
      </c>
    </row>
    <row r="446" spans="1:10" s="93" customFormat="1" ht="11.25" customHeight="1" outlineLevel="1">
      <c r="A446" s="99"/>
      <c r="B446" s="96"/>
      <c r="C446" s="112" t="s">
        <v>441</v>
      </c>
      <c r="D446" s="133"/>
      <c r="E446" s="88">
        <v>0</v>
      </c>
      <c r="F446" s="100"/>
      <c r="G446" s="101"/>
      <c r="H446" s="102"/>
      <c r="I446" s="98"/>
      <c r="J446" s="149"/>
    </row>
    <row r="447" spans="1:10" s="93" customFormat="1" ht="11.25" customHeight="1" outlineLevel="1">
      <c r="A447" s="99"/>
      <c r="B447" s="96"/>
      <c r="C447" s="112" t="s">
        <v>394</v>
      </c>
      <c r="D447" s="133"/>
      <c r="E447" s="88">
        <f>3.6*108</f>
        <v>388.8</v>
      </c>
      <c r="F447" s="100"/>
      <c r="G447" s="101"/>
      <c r="H447" s="102"/>
      <c r="I447" s="98"/>
      <c r="J447" s="149"/>
    </row>
    <row r="448" spans="1:10" s="93" customFormat="1" ht="12.75" customHeight="1">
      <c r="A448" s="99" t="s">
        <v>521</v>
      </c>
      <c r="B448" s="69" t="s">
        <v>197</v>
      </c>
      <c r="C448" s="144" t="s">
        <v>198</v>
      </c>
      <c r="D448" s="75" t="s">
        <v>74</v>
      </c>
      <c r="E448" s="83">
        <f>SUM(E449:E450)</f>
        <v>62</v>
      </c>
      <c r="F448" s="84">
        <v>0.00164</v>
      </c>
      <c r="G448" s="101">
        <f>E448*F448</f>
        <v>0.10167999999999999</v>
      </c>
      <c r="H448" s="85"/>
      <c r="I448" s="86">
        <f>E448*H448</f>
        <v>0</v>
      </c>
      <c r="J448" s="148" t="s">
        <v>250</v>
      </c>
    </row>
    <row r="449" spans="1:10" s="93" customFormat="1" ht="11.25" customHeight="1" outlineLevel="1">
      <c r="A449" s="99"/>
      <c r="B449" s="96"/>
      <c r="C449" s="112" t="s">
        <v>199</v>
      </c>
      <c r="D449" s="133"/>
      <c r="E449" s="88">
        <v>0</v>
      </c>
      <c r="F449" s="100"/>
      <c r="G449" s="101"/>
      <c r="H449" s="102"/>
      <c r="I449" s="98"/>
      <c r="J449" s="149"/>
    </row>
    <row r="450" spans="1:10" s="93" customFormat="1" ht="11.25" customHeight="1" outlineLevel="1">
      <c r="A450" s="99"/>
      <c r="B450" s="96"/>
      <c r="C450" s="112" t="s">
        <v>367</v>
      </c>
      <c r="D450" s="133"/>
      <c r="E450" s="88">
        <f>22.5*2+8.5*2</f>
        <v>62</v>
      </c>
      <c r="F450" s="100"/>
      <c r="G450" s="101"/>
      <c r="H450" s="102"/>
      <c r="I450" s="98"/>
      <c r="J450" s="149"/>
    </row>
    <row r="451" spans="1:10" ht="12.75" customHeight="1">
      <c r="A451" s="99" t="s">
        <v>522</v>
      </c>
      <c r="B451" s="80" t="s">
        <v>104</v>
      </c>
      <c r="C451" s="81" t="s">
        <v>200</v>
      </c>
      <c r="D451" s="82" t="s">
        <v>74</v>
      </c>
      <c r="E451" s="83">
        <f>SUM(E452:E455)</f>
        <v>393.9</v>
      </c>
      <c r="F451" s="84">
        <v>0.00135</v>
      </c>
      <c r="G451" s="101">
        <f>E451*F451</f>
        <v>0.531765</v>
      </c>
      <c r="H451" s="85"/>
      <c r="I451" s="86">
        <f>E451*H451</f>
        <v>0</v>
      </c>
      <c r="J451" s="148" t="s">
        <v>250</v>
      </c>
    </row>
    <row r="452" spans="1:10" s="93" customFormat="1" ht="12.75" customHeight="1" outlineLevel="1">
      <c r="A452" s="99"/>
      <c r="B452" s="96"/>
      <c r="C452" s="112" t="s">
        <v>105</v>
      </c>
      <c r="D452" s="133"/>
      <c r="E452" s="88">
        <v>0</v>
      </c>
      <c r="F452" s="100"/>
      <c r="G452" s="101"/>
      <c r="H452" s="102"/>
      <c r="I452" s="98"/>
      <c r="J452" s="149"/>
    </row>
    <row r="453" spans="1:10" s="93" customFormat="1" ht="12.75" customHeight="1" outlineLevel="1">
      <c r="A453" s="99"/>
      <c r="B453" s="96"/>
      <c r="C453" s="112" t="s">
        <v>284</v>
      </c>
      <c r="D453" s="133"/>
      <c r="E453" s="88">
        <f>1*6+0.9*8+2.1*28+2.1*49+2.35*7</f>
        <v>191.35</v>
      </c>
      <c r="F453" s="100"/>
      <c r="G453" s="101"/>
      <c r="H453" s="102"/>
      <c r="I453" s="98"/>
      <c r="J453" s="149"/>
    </row>
    <row r="454" spans="1:10" s="93" customFormat="1" ht="12.75" customHeight="1" outlineLevel="1">
      <c r="A454" s="99"/>
      <c r="B454" s="96"/>
      <c r="C454" s="115" t="s">
        <v>285</v>
      </c>
      <c r="D454" s="133"/>
      <c r="E454" s="116">
        <f>1*7+2.1*18+2.35*6+2.1*63+2.35</f>
        <v>193.55</v>
      </c>
      <c r="F454" s="100"/>
      <c r="G454" s="101"/>
      <c r="H454" s="102"/>
      <c r="I454" s="98"/>
      <c r="J454" s="149"/>
    </row>
    <row r="455" spans="1:10" s="93" customFormat="1" ht="12.75" customHeight="1" outlineLevel="1">
      <c r="A455" s="99"/>
      <c r="B455" s="96"/>
      <c r="C455" s="115" t="s">
        <v>286</v>
      </c>
      <c r="D455" s="133"/>
      <c r="E455" s="116">
        <f>0.9*(6+4)</f>
        <v>9</v>
      </c>
      <c r="F455" s="100"/>
      <c r="G455" s="101"/>
      <c r="H455" s="102"/>
      <c r="I455" s="98"/>
      <c r="J455" s="149"/>
    </row>
    <row r="456" spans="1:10" ht="12" customHeight="1">
      <c r="A456" s="99" t="s">
        <v>523</v>
      </c>
      <c r="B456" s="80" t="s">
        <v>201</v>
      </c>
      <c r="C456" s="81" t="s">
        <v>202</v>
      </c>
      <c r="D456" s="82" t="s">
        <v>74</v>
      </c>
      <c r="E456" s="83">
        <f>SUM(E457:E457)</f>
        <v>29.8</v>
      </c>
      <c r="F456" s="84">
        <v>0.00312</v>
      </c>
      <c r="G456" s="101">
        <f>E456*F456</f>
        <v>0.092976</v>
      </c>
      <c r="H456" s="85"/>
      <c r="I456" s="86">
        <f>E456*H456</f>
        <v>0</v>
      </c>
      <c r="J456" s="148" t="s">
        <v>250</v>
      </c>
    </row>
    <row r="457" spans="1:10" s="93" customFormat="1" ht="11.25" customHeight="1" outlineLevel="1">
      <c r="A457" s="99"/>
      <c r="B457" s="96"/>
      <c r="C457" s="112" t="s">
        <v>368</v>
      </c>
      <c r="D457" s="133"/>
      <c r="E457" s="88">
        <f>14.9*2</f>
        <v>29.8</v>
      </c>
      <c r="F457" s="100"/>
      <c r="G457" s="101"/>
      <c r="H457" s="102"/>
      <c r="I457" s="98"/>
      <c r="J457" s="149"/>
    </row>
    <row r="458" spans="1:10" ht="14.25" customHeight="1">
      <c r="A458" s="163" t="s">
        <v>524</v>
      </c>
      <c r="B458" s="80" t="s">
        <v>169</v>
      </c>
      <c r="C458" s="81" t="s">
        <v>232</v>
      </c>
      <c r="D458" s="82" t="s">
        <v>74</v>
      </c>
      <c r="E458" s="83">
        <f>SUM(E459:E463)</f>
        <v>178.50000000000003</v>
      </c>
      <c r="F458" s="84">
        <v>0.00335</v>
      </c>
      <c r="G458" s="101">
        <f>E458*F458</f>
        <v>0.5979750000000001</v>
      </c>
      <c r="H458" s="85"/>
      <c r="I458" s="86">
        <f>E458*H458</f>
        <v>0</v>
      </c>
      <c r="J458" s="148" t="s">
        <v>250</v>
      </c>
    </row>
    <row r="459" spans="1:10" s="93" customFormat="1" ht="22.5" customHeight="1" outlineLevel="1">
      <c r="A459" s="99"/>
      <c r="B459" s="96"/>
      <c r="C459" s="112" t="s">
        <v>170</v>
      </c>
      <c r="D459" s="133"/>
      <c r="E459" s="88">
        <v>0</v>
      </c>
      <c r="F459" s="100"/>
      <c r="G459" s="101"/>
      <c r="H459" s="102"/>
      <c r="I459" s="98"/>
      <c r="J459" s="149"/>
    </row>
    <row r="460" spans="1:10" s="93" customFormat="1" ht="11.25" customHeight="1" outlineLevel="1">
      <c r="A460" s="99"/>
      <c r="B460" s="96"/>
      <c r="C460" s="112" t="s">
        <v>588</v>
      </c>
      <c r="D460" s="133"/>
      <c r="E460" s="88">
        <f>1*6+0.9*8+2.1*28+2.35*7</f>
        <v>88.45</v>
      </c>
      <c r="F460" s="100"/>
      <c r="G460" s="101"/>
      <c r="H460" s="102"/>
      <c r="I460" s="98"/>
      <c r="J460" s="149"/>
    </row>
    <row r="461" spans="1:10" s="93" customFormat="1" ht="11.25" customHeight="1" outlineLevel="1">
      <c r="A461" s="99"/>
      <c r="B461" s="96"/>
      <c r="C461" s="115" t="s">
        <v>589</v>
      </c>
      <c r="D461" s="133"/>
      <c r="E461" s="116">
        <f>1*7+2.1*18+2.35*6+2.35</f>
        <v>61.25000000000001</v>
      </c>
      <c r="F461" s="100"/>
      <c r="G461" s="101"/>
      <c r="H461" s="102"/>
      <c r="I461" s="98"/>
      <c r="J461" s="149"/>
    </row>
    <row r="462" spans="1:10" s="93" customFormat="1" ht="11.25" customHeight="1" outlineLevel="1">
      <c r="A462" s="99"/>
      <c r="B462" s="96"/>
      <c r="C462" s="115" t="s">
        <v>590</v>
      </c>
      <c r="D462" s="133"/>
      <c r="E462" s="116">
        <f>(1.3*2+7.3)*2</f>
        <v>19.8</v>
      </c>
      <c r="F462" s="100"/>
      <c r="G462" s="101"/>
      <c r="H462" s="102"/>
      <c r="I462" s="98"/>
      <c r="J462" s="149"/>
    </row>
    <row r="463" spans="1:10" s="93" customFormat="1" ht="11.25" customHeight="1" outlineLevel="1">
      <c r="A463" s="99"/>
      <c r="B463" s="96"/>
      <c r="C463" s="115" t="s">
        <v>286</v>
      </c>
      <c r="D463" s="133"/>
      <c r="E463" s="116">
        <f>0.9*(6+4)</f>
        <v>9</v>
      </c>
      <c r="F463" s="100"/>
      <c r="G463" s="101"/>
      <c r="H463" s="102"/>
      <c r="I463" s="98"/>
      <c r="J463" s="149"/>
    </row>
    <row r="464" spans="1:10" ht="12.75" customHeight="1">
      <c r="A464" s="163" t="s">
        <v>525</v>
      </c>
      <c r="B464" s="80" t="s">
        <v>369</v>
      </c>
      <c r="C464" s="81" t="s">
        <v>370</v>
      </c>
      <c r="D464" s="82" t="s">
        <v>74</v>
      </c>
      <c r="E464" s="83">
        <f>SUM(E465:E467)</f>
        <v>208.86</v>
      </c>
      <c r="F464" s="84">
        <v>0.00158</v>
      </c>
      <c r="G464" s="101">
        <f>E464*F464</f>
        <v>0.32999880000000004</v>
      </c>
      <c r="H464" s="85"/>
      <c r="I464" s="86">
        <f>E464*H464</f>
        <v>0</v>
      </c>
      <c r="J464" s="148" t="s">
        <v>250</v>
      </c>
    </row>
    <row r="465" spans="1:10" s="93" customFormat="1" ht="34.5" customHeight="1" outlineLevel="1">
      <c r="A465" s="99"/>
      <c r="B465" s="96"/>
      <c r="C465" s="112" t="s">
        <v>233</v>
      </c>
      <c r="D465" s="133"/>
      <c r="E465" s="88">
        <v>0</v>
      </c>
      <c r="F465" s="100"/>
      <c r="G465" s="101"/>
      <c r="H465" s="102"/>
      <c r="I465" s="98"/>
      <c r="J465" s="149"/>
    </row>
    <row r="466" spans="1:10" s="93" customFormat="1" ht="12.75" customHeight="1" outlineLevel="1">
      <c r="A466" s="99"/>
      <c r="B466" s="96"/>
      <c r="C466" s="115" t="s">
        <v>372</v>
      </c>
      <c r="D466" s="133"/>
      <c r="E466" s="116">
        <f>14.9*2</f>
        <v>29.8</v>
      </c>
      <c r="F466" s="100"/>
      <c r="G466" s="101"/>
      <c r="H466" s="102"/>
      <c r="I466" s="98"/>
      <c r="J466" s="149"/>
    </row>
    <row r="467" spans="1:10" s="93" customFormat="1" ht="12.75" customHeight="1" outlineLevel="1">
      <c r="A467" s="99"/>
      <c r="B467" s="96"/>
      <c r="C467" s="115" t="s">
        <v>371</v>
      </c>
      <c r="D467" s="133"/>
      <c r="E467" s="116">
        <f>87.28+66.08+25.7</f>
        <v>179.06</v>
      </c>
      <c r="F467" s="100"/>
      <c r="G467" s="101"/>
      <c r="H467" s="102"/>
      <c r="I467" s="98"/>
      <c r="J467" s="149"/>
    </row>
    <row r="468" spans="1:10" ht="12.75" customHeight="1">
      <c r="A468" s="99" t="s">
        <v>526</v>
      </c>
      <c r="B468" s="80" t="s">
        <v>209</v>
      </c>
      <c r="C468" s="81" t="s">
        <v>373</v>
      </c>
      <c r="D468" s="82" t="s">
        <v>74</v>
      </c>
      <c r="E468" s="83">
        <f>E466*1.1</f>
        <v>32.78</v>
      </c>
      <c r="F468" s="84">
        <v>0.000558</v>
      </c>
      <c r="G468" s="101">
        <f>E468*F468</f>
        <v>0.01829124</v>
      </c>
      <c r="H468" s="85"/>
      <c r="I468" s="86">
        <f>E468*H468</f>
        <v>0</v>
      </c>
      <c r="J468" s="148"/>
    </row>
    <row r="469" spans="1:10" ht="14.25" customHeight="1">
      <c r="A469" s="99" t="s">
        <v>75</v>
      </c>
      <c r="B469" s="80" t="s">
        <v>209</v>
      </c>
      <c r="C469" s="81" t="s">
        <v>374</v>
      </c>
      <c r="D469" s="82" t="s">
        <v>74</v>
      </c>
      <c r="E469" s="83">
        <f>E467*1.1</f>
        <v>196.966</v>
      </c>
      <c r="F469" s="84">
        <v>0.000558</v>
      </c>
      <c r="G469" s="101">
        <f>E469*F469</f>
        <v>0.109907028</v>
      </c>
      <c r="H469" s="85"/>
      <c r="I469" s="86">
        <f>E469*H469</f>
        <v>0</v>
      </c>
      <c r="J469" s="148"/>
    </row>
    <row r="470" spans="1:10" ht="12.75" customHeight="1">
      <c r="A470" s="99" t="s">
        <v>527</v>
      </c>
      <c r="B470" s="80" t="s">
        <v>106</v>
      </c>
      <c r="C470" s="81" t="s">
        <v>107</v>
      </c>
      <c r="D470" s="82" t="s">
        <v>2</v>
      </c>
      <c r="E470" s="94">
        <v>0.02</v>
      </c>
      <c r="F470" s="84">
        <v>0</v>
      </c>
      <c r="G470" s="101">
        <f>E470*F470</f>
        <v>0</v>
      </c>
      <c r="H470" s="85"/>
      <c r="I470" s="86">
        <f>E470*H470</f>
        <v>0</v>
      </c>
      <c r="J470" s="148" t="s">
        <v>250</v>
      </c>
    </row>
    <row r="471" spans="1:10" ht="12.75" customHeight="1">
      <c r="A471" s="93"/>
      <c r="C471" s="91" t="str">
        <f>CONCATENATE(B443," celkem")</f>
        <v>764 celkem</v>
      </c>
      <c r="D471" s="69"/>
      <c r="G471" s="109">
        <f>SUBTOTAL(9,G445:G470)</f>
        <v>2.334689068</v>
      </c>
      <c r="I471" s="92">
        <f>SUBTOTAL(9,I445:I470)</f>
        <v>0</v>
      </c>
      <c r="J471" s="148"/>
    </row>
    <row r="472" spans="3:10" s="93" customFormat="1" ht="12.75" customHeight="1">
      <c r="C472" s="113"/>
      <c r="G472" s="109"/>
      <c r="I472" s="110"/>
      <c r="J472" s="149"/>
    </row>
    <row r="473" spans="1:10" ht="12.75" customHeight="1">
      <c r="A473" s="93"/>
      <c r="B473" s="76" t="s">
        <v>108</v>
      </c>
      <c r="C473" s="77" t="s">
        <v>203</v>
      </c>
      <c r="D473" s="69"/>
      <c r="G473" s="93"/>
      <c r="J473" s="148"/>
    </row>
    <row r="474" spans="1:10" ht="6" customHeight="1">
      <c r="A474" s="93"/>
      <c r="D474" s="69"/>
      <c r="G474" s="93"/>
      <c r="J474" s="148"/>
    </row>
    <row r="475" spans="1:10" ht="12" customHeight="1">
      <c r="A475" s="99" t="s">
        <v>528</v>
      </c>
      <c r="B475" s="80" t="s">
        <v>436</v>
      </c>
      <c r="C475" s="81" t="s">
        <v>437</v>
      </c>
      <c r="D475" s="82" t="s">
        <v>171</v>
      </c>
      <c r="E475" s="83">
        <f>SUM(E476:E477)</f>
        <v>1</v>
      </c>
      <c r="F475" s="84">
        <v>0.008</v>
      </c>
      <c r="G475" s="101">
        <f>E475*F475</f>
        <v>0.008</v>
      </c>
      <c r="H475" s="85"/>
      <c r="I475" s="86">
        <f>E475*H475</f>
        <v>0</v>
      </c>
      <c r="J475" s="148" t="s">
        <v>250</v>
      </c>
    </row>
    <row r="476" spans="1:10" s="93" customFormat="1" ht="12" customHeight="1" outlineLevel="1">
      <c r="A476" s="99"/>
      <c r="B476" s="96"/>
      <c r="C476" s="112" t="s">
        <v>469</v>
      </c>
      <c r="D476" s="87"/>
      <c r="E476" s="88">
        <v>0</v>
      </c>
      <c r="F476" s="100"/>
      <c r="G476" s="101"/>
      <c r="H476" s="102"/>
      <c r="I476" s="98"/>
      <c r="J476" s="149"/>
    </row>
    <row r="477" spans="1:10" s="93" customFormat="1" ht="12" customHeight="1" outlineLevel="1">
      <c r="A477" s="99"/>
      <c r="B477" s="96"/>
      <c r="C477" s="135" t="s">
        <v>438</v>
      </c>
      <c r="D477" s="131"/>
      <c r="E477" s="116">
        <v>1</v>
      </c>
      <c r="F477" s="100"/>
      <c r="G477" s="101"/>
      <c r="H477" s="102"/>
      <c r="I477" s="98"/>
      <c r="J477" s="149"/>
    </row>
    <row r="478" spans="1:10" ht="12" customHeight="1">
      <c r="A478" s="99" t="s">
        <v>529</v>
      </c>
      <c r="B478" s="145" t="s">
        <v>470</v>
      </c>
      <c r="C478" s="81" t="s">
        <v>440</v>
      </c>
      <c r="D478" s="82" t="s">
        <v>171</v>
      </c>
      <c r="E478" s="83">
        <f>SUM(E479:E479)</f>
        <v>1</v>
      </c>
      <c r="F478" s="84">
        <v>0.02465</v>
      </c>
      <c r="G478" s="101">
        <f>E478*F478</f>
        <v>0.02465</v>
      </c>
      <c r="H478" s="85"/>
      <c r="I478" s="86">
        <f>E478*H478</f>
        <v>0</v>
      </c>
      <c r="J478" s="148" t="s">
        <v>250</v>
      </c>
    </row>
    <row r="479" spans="1:10" ht="12" customHeight="1" outlineLevel="1">
      <c r="A479" s="99"/>
      <c r="B479" s="90"/>
      <c r="C479" s="142" t="s">
        <v>439</v>
      </c>
      <c r="D479" s="143"/>
      <c r="E479" s="88">
        <v>1</v>
      </c>
      <c r="F479" s="84"/>
      <c r="G479" s="101"/>
      <c r="H479" s="85"/>
      <c r="I479" s="98"/>
      <c r="J479" s="148"/>
    </row>
    <row r="480" spans="1:10" ht="12" customHeight="1">
      <c r="A480" s="99" t="s">
        <v>530</v>
      </c>
      <c r="B480" s="80" t="s">
        <v>204</v>
      </c>
      <c r="C480" s="81" t="s">
        <v>210</v>
      </c>
      <c r="D480" s="82" t="s">
        <v>2</v>
      </c>
      <c r="E480" s="94">
        <v>0.0156</v>
      </c>
      <c r="F480" s="84">
        <v>0</v>
      </c>
      <c r="G480" s="101">
        <f>E480*F480</f>
        <v>0</v>
      </c>
      <c r="H480" s="85"/>
      <c r="I480" s="86">
        <f>E480*H480</f>
        <v>0</v>
      </c>
      <c r="J480" s="148" t="s">
        <v>250</v>
      </c>
    </row>
    <row r="481" spans="1:10" ht="12.75" customHeight="1">
      <c r="A481" s="93"/>
      <c r="C481" s="91" t="str">
        <f>CONCATENATE(B473," celkem")</f>
        <v>766 celkem</v>
      </c>
      <c r="D481" s="69"/>
      <c r="G481" s="109">
        <f>SUBTOTAL(9,G475:G480)</f>
        <v>0.03265</v>
      </c>
      <c r="I481" s="92">
        <f>SUBTOTAL(9,I475:I480)</f>
        <v>0</v>
      </c>
      <c r="J481" s="148"/>
    </row>
    <row r="482" spans="3:10" s="93" customFormat="1" ht="12.75" customHeight="1">
      <c r="C482" s="113"/>
      <c r="G482" s="109"/>
      <c r="I482" s="110"/>
      <c r="J482" s="149"/>
    </row>
    <row r="483" spans="2:10" ht="11.25">
      <c r="B483" s="76" t="s">
        <v>3</v>
      </c>
      <c r="C483" s="77" t="s">
        <v>79</v>
      </c>
      <c r="J483" s="148"/>
    </row>
    <row r="484" ht="6" customHeight="1">
      <c r="J484" s="148"/>
    </row>
    <row r="485" spans="1:10" ht="12" customHeight="1">
      <c r="A485" s="99" t="s">
        <v>531</v>
      </c>
      <c r="B485" s="89" t="s">
        <v>375</v>
      </c>
      <c r="C485" s="81" t="s">
        <v>211</v>
      </c>
      <c r="D485" s="82" t="s">
        <v>73</v>
      </c>
      <c r="E485" s="83">
        <f>SUM(E486:E487)</f>
        <v>10260</v>
      </c>
      <c r="F485" s="84">
        <v>0.0006</v>
      </c>
      <c r="G485" s="101">
        <f>E485*F485</f>
        <v>6.156</v>
      </c>
      <c r="H485" s="85"/>
      <c r="I485" s="86">
        <f>E485*H485</f>
        <v>0</v>
      </c>
      <c r="J485" s="148" t="s">
        <v>250</v>
      </c>
    </row>
    <row r="486" spans="1:10" s="93" customFormat="1" ht="12.75" customHeight="1" outlineLevel="1">
      <c r="A486" s="99"/>
      <c r="B486" s="105"/>
      <c r="C486" s="156" t="s">
        <v>378</v>
      </c>
      <c r="D486" s="104"/>
      <c r="E486" s="116">
        <v>0</v>
      </c>
      <c r="F486" s="100"/>
      <c r="G486" s="101"/>
      <c r="H486" s="102"/>
      <c r="I486" s="98"/>
      <c r="J486" s="149"/>
    </row>
    <row r="487" spans="1:10" s="93" customFormat="1" ht="12" customHeight="1" outlineLevel="1">
      <c r="A487" s="99"/>
      <c r="B487" s="105"/>
      <c r="C487" s="156" t="s">
        <v>379</v>
      </c>
      <c r="D487" s="104"/>
      <c r="E487" s="116">
        <f>108*95</f>
        <v>10260</v>
      </c>
      <c r="F487" s="100"/>
      <c r="G487" s="101"/>
      <c r="H487" s="102"/>
      <c r="I487" s="98"/>
      <c r="J487" s="149"/>
    </row>
    <row r="488" spans="1:10" s="93" customFormat="1" ht="12" customHeight="1">
      <c r="A488" s="99" t="s">
        <v>532</v>
      </c>
      <c r="B488" s="105" t="s">
        <v>468</v>
      </c>
      <c r="C488" s="81" t="s">
        <v>467</v>
      </c>
      <c r="D488" s="82" t="s">
        <v>126</v>
      </c>
      <c r="E488" s="83">
        <f>SUM(E489:E490)</f>
        <v>108</v>
      </c>
      <c r="F488" s="84">
        <v>0.0006</v>
      </c>
      <c r="G488" s="101">
        <f>E488*F488</f>
        <v>0.0648</v>
      </c>
      <c r="H488" s="85"/>
      <c r="I488" s="86">
        <f>E488*H488</f>
        <v>0</v>
      </c>
      <c r="J488" s="148" t="s">
        <v>89</v>
      </c>
    </row>
    <row r="489" spans="1:10" s="93" customFormat="1" ht="12.75" customHeight="1" outlineLevel="1">
      <c r="A489" s="99"/>
      <c r="B489" s="105"/>
      <c r="C489" s="135" t="s">
        <v>376</v>
      </c>
      <c r="D489" s="104"/>
      <c r="E489" s="116">
        <v>0</v>
      </c>
      <c r="F489" s="100"/>
      <c r="G489" s="101"/>
      <c r="H489" s="102"/>
      <c r="I489" s="98"/>
      <c r="J489" s="149"/>
    </row>
    <row r="490" spans="1:10" s="93" customFormat="1" ht="12" customHeight="1" outlineLevel="1">
      <c r="A490" s="99"/>
      <c r="B490" s="105"/>
      <c r="C490" s="135" t="s">
        <v>377</v>
      </c>
      <c r="D490" s="104"/>
      <c r="E490" s="116">
        <f>12+49+12+35</f>
        <v>108</v>
      </c>
      <c r="F490" s="100"/>
      <c r="G490" s="101"/>
      <c r="H490" s="102"/>
      <c r="I490" s="98"/>
      <c r="J490" s="149"/>
    </row>
    <row r="491" spans="1:10" ht="11.25">
      <c r="A491" s="99" t="s">
        <v>533</v>
      </c>
      <c r="B491" s="80" t="s">
        <v>4</v>
      </c>
      <c r="C491" s="81" t="s">
        <v>5</v>
      </c>
      <c r="D491" s="82" t="s">
        <v>2</v>
      </c>
      <c r="E491" s="94">
        <v>0.0215</v>
      </c>
      <c r="F491" s="84">
        <v>0</v>
      </c>
      <c r="G491" s="101">
        <f>E491*F491</f>
        <v>0</v>
      </c>
      <c r="H491" s="85"/>
      <c r="I491" s="86">
        <f>E491*H491</f>
        <v>0</v>
      </c>
      <c r="J491" s="148" t="s">
        <v>250</v>
      </c>
    </row>
    <row r="492" spans="3:10" ht="11.25">
      <c r="C492" s="91" t="str">
        <f>CONCATENATE(B483," celkem")</f>
        <v>767 celkem</v>
      </c>
      <c r="G492" s="109">
        <f>SUBTOTAL(9,G485:G491)</f>
        <v>6.2208</v>
      </c>
      <c r="I492" s="92">
        <f>SUBTOTAL(9,I485:I491)</f>
        <v>0</v>
      </c>
      <c r="J492" s="148"/>
    </row>
    <row r="493" spans="1:10" s="93" customFormat="1" ht="11.25">
      <c r="A493" s="103"/>
      <c r="C493" s="113"/>
      <c r="D493" s="103"/>
      <c r="G493" s="109"/>
      <c r="I493" s="110"/>
      <c r="J493" s="149"/>
    </row>
    <row r="494" spans="1:10" s="93" customFormat="1" ht="11.25">
      <c r="A494" s="103"/>
      <c r="B494" s="76" t="s">
        <v>127</v>
      </c>
      <c r="C494" s="77" t="s">
        <v>128</v>
      </c>
      <c r="D494" s="75"/>
      <c r="E494" s="69"/>
      <c r="F494" s="69"/>
      <c r="G494" s="69"/>
      <c r="H494" s="69"/>
      <c r="I494" s="69"/>
      <c r="J494" s="148"/>
    </row>
    <row r="495" spans="1:10" s="93" customFormat="1" ht="6" customHeight="1">
      <c r="A495" s="103"/>
      <c r="B495" s="69"/>
      <c r="C495" s="79"/>
      <c r="D495" s="75"/>
      <c r="E495" s="69"/>
      <c r="F495" s="69"/>
      <c r="G495" s="69"/>
      <c r="H495" s="69"/>
      <c r="I495" s="69"/>
      <c r="J495" s="148"/>
    </row>
    <row r="496" spans="1:10" s="93" customFormat="1" ht="12" customHeight="1">
      <c r="A496" s="163" t="s">
        <v>534</v>
      </c>
      <c r="B496" s="123" t="s">
        <v>599</v>
      </c>
      <c r="C496" s="81" t="s">
        <v>384</v>
      </c>
      <c r="D496" s="95" t="s">
        <v>72</v>
      </c>
      <c r="E496" s="83">
        <f>E499</f>
        <v>79.38</v>
      </c>
      <c r="F496" s="84">
        <v>0.0031</v>
      </c>
      <c r="G496" s="101">
        <f>E496*F496</f>
        <v>0.24607799999999996</v>
      </c>
      <c r="H496" s="85"/>
      <c r="I496" s="86">
        <f>E496*H496</f>
        <v>0</v>
      </c>
      <c r="J496" s="148" t="s">
        <v>250</v>
      </c>
    </row>
    <row r="497" spans="1:10" s="93" customFormat="1" ht="46.5" customHeight="1" outlineLevel="1">
      <c r="A497" s="99"/>
      <c r="B497" s="125"/>
      <c r="C497" s="115" t="s">
        <v>456</v>
      </c>
      <c r="D497" s="87"/>
      <c r="E497" s="116">
        <v>0</v>
      </c>
      <c r="F497" s="100"/>
      <c r="G497" s="101"/>
      <c r="H497" s="102"/>
      <c r="I497" s="98"/>
      <c r="J497" s="149"/>
    </row>
    <row r="498" spans="1:10" s="93" customFormat="1" ht="12" customHeight="1" outlineLevel="1">
      <c r="A498" s="99"/>
      <c r="B498" s="125"/>
      <c r="C498" s="112" t="s">
        <v>466</v>
      </c>
      <c r="D498" s="87"/>
      <c r="E498" s="88">
        <v>0</v>
      </c>
      <c r="F498" s="100"/>
      <c r="G498" s="101"/>
      <c r="H498" s="102"/>
      <c r="I498" s="98"/>
      <c r="J498" s="149"/>
    </row>
    <row r="499" spans="1:10" s="93" customFormat="1" ht="12" customHeight="1" outlineLevel="1">
      <c r="A499" s="99"/>
      <c r="B499" s="125"/>
      <c r="C499" s="135" t="s">
        <v>600</v>
      </c>
      <c r="D499" s="87"/>
      <c r="E499" s="88">
        <f>(0.9+1.2)*0.35*108</f>
        <v>79.38</v>
      </c>
      <c r="F499" s="100"/>
      <c r="G499" s="101"/>
      <c r="H499" s="102"/>
      <c r="I499" s="98"/>
      <c r="J499" s="149"/>
    </row>
    <row r="500" spans="1:10" s="93" customFormat="1" ht="12" customHeight="1">
      <c r="A500" s="163" t="s">
        <v>535</v>
      </c>
      <c r="B500" s="90" t="s">
        <v>457</v>
      </c>
      <c r="C500" s="81" t="s">
        <v>601</v>
      </c>
      <c r="D500" s="75" t="s">
        <v>72</v>
      </c>
      <c r="E500" s="83">
        <f>E501</f>
        <v>91.28699999999999</v>
      </c>
      <c r="F500" s="84"/>
      <c r="G500" s="101">
        <f>E500*F500</f>
        <v>0</v>
      </c>
      <c r="H500" s="85"/>
      <c r="I500" s="86">
        <f>E500*H500</f>
        <v>0</v>
      </c>
      <c r="J500" s="148" t="s">
        <v>250</v>
      </c>
    </row>
    <row r="501" spans="1:10" s="93" customFormat="1" ht="12" customHeight="1" outlineLevel="1">
      <c r="A501" s="99"/>
      <c r="B501" s="120"/>
      <c r="C501" s="112" t="s">
        <v>602</v>
      </c>
      <c r="D501" s="87"/>
      <c r="E501" s="88">
        <f>E499*1.15</f>
        <v>91.28699999999999</v>
      </c>
      <c r="F501" s="100"/>
      <c r="G501" s="101"/>
      <c r="H501" s="102"/>
      <c r="I501" s="98"/>
      <c r="J501" s="149"/>
    </row>
    <row r="502" spans="1:10" s="93" customFormat="1" ht="12" customHeight="1">
      <c r="A502" s="99" t="s">
        <v>536</v>
      </c>
      <c r="B502" s="90" t="s">
        <v>460</v>
      </c>
      <c r="C502" s="81" t="s">
        <v>461</v>
      </c>
      <c r="D502" s="75" t="s">
        <v>73</v>
      </c>
      <c r="E502" s="83">
        <f>E503</f>
        <v>228.21749999999997</v>
      </c>
      <c r="F502" s="84"/>
      <c r="G502" s="101">
        <f>E502*F502</f>
        <v>0</v>
      </c>
      <c r="H502" s="85"/>
      <c r="I502" s="86">
        <f>E502*H502</f>
        <v>0</v>
      </c>
      <c r="J502" s="148" t="s">
        <v>250</v>
      </c>
    </row>
    <row r="503" spans="1:10" s="93" customFormat="1" ht="12" customHeight="1" outlineLevel="1">
      <c r="A503" s="99"/>
      <c r="B503" s="120"/>
      <c r="C503" s="112" t="s">
        <v>462</v>
      </c>
      <c r="D503" s="87"/>
      <c r="E503" s="88">
        <f>E501*2.5</f>
        <v>228.21749999999997</v>
      </c>
      <c r="F503" s="100"/>
      <c r="G503" s="101"/>
      <c r="H503" s="102"/>
      <c r="I503" s="98"/>
      <c r="J503" s="149"/>
    </row>
    <row r="504" spans="1:10" s="93" customFormat="1" ht="12" customHeight="1">
      <c r="A504" s="99" t="s">
        <v>537</v>
      </c>
      <c r="B504" s="123" t="s">
        <v>145</v>
      </c>
      <c r="C504" s="81" t="s">
        <v>146</v>
      </c>
      <c r="D504" s="95" t="s">
        <v>74</v>
      </c>
      <c r="E504" s="83">
        <f>E507</f>
        <v>604.8</v>
      </c>
      <c r="F504" s="84">
        <v>0.0031</v>
      </c>
      <c r="G504" s="101">
        <f>E504*F504</f>
        <v>1.8748799999999999</v>
      </c>
      <c r="H504" s="85"/>
      <c r="I504" s="86">
        <f>E504*H504</f>
        <v>0</v>
      </c>
      <c r="J504" s="148" t="s">
        <v>250</v>
      </c>
    </row>
    <row r="505" spans="1:10" s="93" customFormat="1" ht="33" customHeight="1" outlineLevel="1">
      <c r="A505" s="99"/>
      <c r="B505" s="125"/>
      <c r="C505" s="115" t="s">
        <v>147</v>
      </c>
      <c r="D505" s="87"/>
      <c r="E505" s="116">
        <v>0</v>
      </c>
      <c r="F505" s="100"/>
      <c r="G505" s="101"/>
      <c r="H505" s="102"/>
      <c r="I505" s="98"/>
      <c r="J505" s="149"/>
    </row>
    <row r="506" spans="1:10" s="93" customFormat="1" ht="12" customHeight="1" outlineLevel="1">
      <c r="A506" s="99"/>
      <c r="B506" s="125"/>
      <c r="C506" s="112" t="s">
        <v>380</v>
      </c>
      <c r="D506" s="87"/>
      <c r="E506" s="88">
        <v>0</v>
      </c>
      <c r="F506" s="100"/>
      <c r="G506" s="101"/>
      <c r="H506" s="102"/>
      <c r="I506" s="98"/>
      <c r="J506" s="149"/>
    </row>
    <row r="507" spans="1:10" s="93" customFormat="1" ht="12" customHeight="1" outlineLevel="1">
      <c r="A507" s="99"/>
      <c r="B507" s="125"/>
      <c r="C507" s="154" t="s">
        <v>381</v>
      </c>
      <c r="D507" s="87"/>
      <c r="E507" s="88">
        <f>(3.6+1*2)*108</f>
        <v>604.8</v>
      </c>
      <c r="F507" s="100"/>
      <c r="G507" s="101"/>
      <c r="H507" s="102"/>
      <c r="I507" s="98"/>
      <c r="J507" s="149"/>
    </row>
    <row r="508" spans="1:10" s="93" customFormat="1" ht="12" customHeight="1">
      <c r="A508" s="99" t="s">
        <v>538</v>
      </c>
      <c r="B508" s="123" t="s">
        <v>142</v>
      </c>
      <c r="C508" s="81" t="s">
        <v>143</v>
      </c>
      <c r="D508" s="95" t="s">
        <v>74</v>
      </c>
      <c r="E508" s="83">
        <f>E510</f>
        <v>604.8</v>
      </c>
      <c r="F508" s="84">
        <v>0.0031</v>
      </c>
      <c r="G508" s="101">
        <f>E508*F508</f>
        <v>1.8748799999999999</v>
      </c>
      <c r="H508" s="85"/>
      <c r="I508" s="86">
        <f>E508*H508</f>
        <v>0</v>
      </c>
      <c r="J508" s="148" t="s">
        <v>250</v>
      </c>
    </row>
    <row r="509" spans="1:10" s="93" customFormat="1" ht="12" customHeight="1" outlineLevel="1">
      <c r="A509" s="99"/>
      <c r="B509" s="125"/>
      <c r="C509" s="112" t="s">
        <v>380</v>
      </c>
      <c r="D509" s="87"/>
      <c r="E509" s="88">
        <v>0</v>
      </c>
      <c r="F509" s="100"/>
      <c r="G509" s="101"/>
      <c r="H509" s="102"/>
      <c r="I509" s="98"/>
      <c r="J509" s="149"/>
    </row>
    <row r="510" spans="1:10" s="93" customFormat="1" ht="12" customHeight="1" outlineLevel="1">
      <c r="A510" s="99"/>
      <c r="B510" s="125"/>
      <c r="C510" s="151" t="s">
        <v>381</v>
      </c>
      <c r="D510" s="87"/>
      <c r="E510" s="88">
        <f>(3.6+1*2)*108</f>
        <v>604.8</v>
      </c>
      <c r="F510" s="100"/>
      <c r="G510" s="101"/>
      <c r="H510" s="102"/>
      <c r="I510" s="98"/>
      <c r="J510" s="149"/>
    </row>
    <row r="511" spans="1:10" s="93" customFormat="1" ht="12" customHeight="1">
      <c r="A511" s="163" t="s">
        <v>539</v>
      </c>
      <c r="B511" s="90" t="s">
        <v>458</v>
      </c>
      <c r="C511" s="81" t="s">
        <v>459</v>
      </c>
      <c r="D511" s="75" t="s">
        <v>72</v>
      </c>
      <c r="E511" s="83">
        <f>E512</f>
        <v>66.528</v>
      </c>
      <c r="F511" s="84"/>
      <c r="G511" s="101">
        <f>E511*F511</f>
        <v>0</v>
      </c>
      <c r="H511" s="85"/>
      <c r="I511" s="86">
        <f>E511*H511</f>
        <v>0</v>
      </c>
      <c r="J511" s="148" t="s">
        <v>250</v>
      </c>
    </row>
    <row r="512" spans="1:10" s="93" customFormat="1" ht="12" customHeight="1" outlineLevel="1">
      <c r="A512" s="99"/>
      <c r="B512" s="120"/>
      <c r="C512" s="112" t="s">
        <v>144</v>
      </c>
      <c r="D512" s="87"/>
      <c r="E512" s="88">
        <f>E504*0.1*1.1</f>
        <v>66.528</v>
      </c>
      <c r="F512" s="100"/>
      <c r="G512" s="101"/>
      <c r="H512" s="102"/>
      <c r="I512" s="98"/>
      <c r="J512" s="149"/>
    </row>
    <row r="513" spans="1:10" s="93" customFormat="1" ht="12" customHeight="1">
      <c r="A513" s="163" t="s">
        <v>540</v>
      </c>
      <c r="B513" s="123" t="s">
        <v>385</v>
      </c>
      <c r="C513" s="81" t="s">
        <v>384</v>
      </c>
      <c r="D513" s="95" t="s">
        <v>72</v>
      </c>
      <c r="E513" s="83">
        <f>E516</f>
        <v>466.56000000000006</v>
      </c>
      <c r="F513" s="84">
        <v>0.0031</v>
      </c>
      <c r="G513" s="101">
        <f>E513*F513</f>
        <v>1.446336</v>
      </c>
      <c r="H513" s="85"/>
      <c r="I513" s="86">
        <f>E513*H513</f>
        <v>0</v>
      </c>
      <c r="J513" s="148" t="s">
        <v>250</v>
      </c>
    </row>
    <row r="514" spans="1:10" s="93" customFormat="1" ht="48" customHeight="1" outlineLevel="1">
      <c r="A514" s="99"/>
      <c r="B514" s="125"/>
      <c r="C514" s="115" t="s">
        <v>386</v>
      </c>
      <c r="D514" s="87"/>
      <c r="E514" s="116">
        <v>0</v>
      </c>
      <c r="F514" s="100"/>
      <c r="G514" s="101"/>
      <c r="H514" s="102"/>
      <c r="I514" s="98"/>
      <c r="J514" s="149"/>
    </row>
    <row r="515" spans="1:10" s="93" customFormat="1" ht="12" customHeight="1" outlineLevel="1">
      <c r="A515" s="99"/>
      <c r="B515" s="125"/>
      <c r="C515" s="112" t="s">
        <v>387</v>
      </c>
      <c r="D515" s="87"/>
      <c r="E515" s="88">
        <v>0</v>
      </c>
      <c r="F515" s="100"/>
      <c r="G515" s="101"/>
      <c r="H515" s="102"/>
      <c r="I515" s="98"/>
      <c r="J515" s="149"/>
    </row>
    <row r="516" spans="1:10" s="93" customFormat="1" ht="12" customHeight="1" outlineLevel="1">
      <c r="A516" s="99"/>
      <c r="B516" s="125"/>
      <c r="C516" s="162" t="s">
        <v>405</v>
      </c>
      <c r="D516" s="87"/>
      <c r="E516" s="88">
        <f>3.6*1.2*108</f>
        <v>466.56000000000006</v>
      </c>
      <c r="F516" s="100"/>
      <c r="G516" s="101"/>
      <c r="H516" s="102"/>
      <c r="I516" s="98"/>
      <c r="J516" s="149"/>
    </row>
    <row r="517" spans="1:10" s="93" customFormat="1" ht="12" customHeight="1">
      <c r="A517" s="163" t="s">
        <v>541</v>
      </c>
      <c r="B517" s="90" t="s">
        <v>132</v>
      </c>
      <c r="C517" s="81" t="s">
        <v>133</v>
      </c>
      <c r="D517" s="75" t="s">
        <v>72</v>
      </c>
      <c r="E517" s="83">
        <f>E518</f>
        <v>513.2160000000001</v>
      </c>
      <c r="F517" s="84"/>
      <c r="G517" s="101">
        <f>E517*F517</f>
        <v>0</v>
      </c>
      <c r="H517" s="85"/>
      <c r="I517" s="86">
        <f>E517*H517</f>
        <v>0</v>
      </c>
      <c r="J517" s="148" t="s">
        <v>89</v>
      </c>
    </row>
    <row r="518" spans="1:10" s="93" customFormat="1" ht="12" customHeight="1" outlineLevel="1">
      <c r="A518" s="99"/>
      <c r="B518" s="120"/>
      <c r="C518" s="112" t="s">
        <v>144</v>
      </c>
      <c r="D518" s="87"/>
      <c r="E518" s="88">
        <f>E513*1.1</f>
        <v>513.2160000000001</v>
      </c>
      <c r="F518" s="100"/>
      <c r="G518" s="101"/>
      <c r="H518" s="102"/>
      <c r="I518" s="98"/>
      <c r="J518" s="149"/>
    </row>
    <row r="519" spans="1:10" s="93" customFormat="1" ht="12" customHeight="1">
      <c r="A519" s="163" t="s">
        <v>542</v>
      </c>
      <c r="B519" s="123" t="s">
        <v>383</v>
      </c>
      <c r="C519" s="81" t="s">
        <v>134</v>
      </c>
      <c r="D519" s="95" t="s">
        <v>72</v>
      </c>
      <c r="E519" s="124">
        <f>SUM(E520:E521)</f>
        <v>466.56000000000006</v>
      </c>
      <c r="F519" s="84">
        <v>0.00011</v>
      </c>
      <c r="G519" s="101">
        <f>E519*F519</f>
        <v>0.05132160000000001</v>
      </c>
      <c r="H519" s="85"/>
      <c r="I519" s="86">
        <f>E519*H519</f>
        <v>0</v>
      </c>
      <c r="J519" s="148" t="s">
        <v>250</v>
      </c>
    </row>
    <row r="520" spans="1:10" s="93" customFormat="1" ht="12" customHeight="1" outlineLevel="1">
      <c r="A520" s="99"/>
      <c r="B520" s="125"/>
      <c r="C520" s="135" t="s">
        <v>382</v>
      </c>
      <c r="D520" s="104"/>
      <c r="E520" s="88">
        <v>0</v>
      </c>
      <c r="F520" s="100"/>
      <c r="G520" s="101"/>
      <c r="H520" s="102"/>
      <c r="I520" s="98"/>
      <c r="J520" s="149"/>
    </row>
    <row r="521" spans="1:10" s="93" customFormat="1" ht="12" customHeight="1" outlineLevel="1">
      <c r="A521" s="99"/>
      <c r="B521" s="125"/>
      <c r="C521" s="151" t="s">
        <v>405</v>
      </c>
      <c r="D521" s="87"/>
      <c r="E521" s="88">
        <f>3.6*1.2*108</f>
        <v>466.56000000000006</v>
      </c>
      <c r="F521" s="100"/>
      <c r="G521" s="101"/>
      <c r="H521" s="102"/>
      <c r="I521" s="98"/>
      <c r="J521" s="149"/>
    </row>
    <row r="522" spans="1:10" s="93" customFormat="1" ht="12" customHeight="1">
      <c r="A522" s="99" t="s">
        <v>543</v>
      </c>
      <c r="B522" s="123" t="s">
        <v>391</v>
      </c>
      <c r="C522" s="81" t="s">
        <v>392</v>
      </c>
      <c r="D522" s="75" t="s">
        <v>74</v>
      </c>
      <c r="E522" s="83">
        <f>SUM(E523:E524)</f>
        <v>388.8</v>
      </c>
      <c r="F522" s="84">
        <v>0</v>
      </c>
      <c r="G522" s="101">
        <f>E522*F522</f>
        <v>0</v>
      </c>
      <c r="H522" s="85"/>
      <c r="I522" s="86">
        <f>E522*H522</f>
        <v>0</v>
      </c>
      <c r="J522" s="148" t="s">
        <v>250</v>
      </c>
    </row>
    <row r="523" spans="1:10" s="93" customFormat="1" ht="24" customHeight="1" outlineLevel="1">
      <c r="A523" s="99"/>
      <c r="B523" s="123"/>
      <c r="C523" s="151" t="s">
        <v>393</v>
      </c>
      <c r="D523" s="75"/>
      <c r="E523" s="88">
        <v>0</v>
      </c>
      <c r="F523" s="84"/>
      <c r="G523" s="101"/>
      <c r="H523" s="85"/>
      <c r="I523" s="98"/>
      <c r="J523" s="148"/>
    </row>
    <row r="524" spans="1:10" s="93" customFormat="1" ht="12" customHeight="1" outlineLevel="1">
      <c r="A524" s="99"/>
      <c r="B524" s="123"/>
      <c r="C524" s="112" t="s">
        <v>394</v>
      </c>
      <c r="D524" s="133"/>
      <c r="E524" s="88">
        <f>3.6*108</f>
        <v>388.8</v>
      </c>
      <c r="F524" s="84"/>
      <c r="G524" s="101"/>
      <c r="H524" s="85"/>
      <c r="I524" s="98"/>
      <c r="J524" s="148"/>
    </row>
    <row r="525" spans="1:10" s="93" customFormat="1" ht="12" customHeight="1">
      <c r="A525" s="99" t="s">
        <v>544</v>
      </c>
      <c r="B525" s="123" t="s">
        <v>388</v>
      </c>
      <c r="C525" s="81" t="s">
        <v>389</v>
      </c>
      <c r="D525" s="75" t="s">
        <v>74</v>
      </c>
      <c r="E525" s="83">
        <f>SUM(E526:E527)</f>
        <v>604.8</v>
      </c>
      <c r="F525" s="84">
        <v>0</v>
      </c>
      <c r="G525" s="101">
        <f>E525*F525</f>
        <v>0</v>
      </c>
      <c r="H525" s="85"/>
      <c r="I525" s="86">
        <f>E525*H525</f>
        <v>0</v>
      </c>
      <c r="J525" s="148" t="s">
        <v>250</v>
      </c>
    </row>
    <row r="526" spans="1:10" s="93" customFormat="1" ht="12.75" customHeight="1" outlineLevel="1">
      <c r="A526" s="99"/>
      <c r="B526" s="123"/>
      <c r="C526" s="151" t="s">
        <v>390</v>
      </c>
      <c r="D526" s="75"/>
      <c r="E526" s="88">
        <v>0</v>
      </c>
      <c r="F526" s="84"/>
      <c r="G526" s="101"/>
      <c r="H526" s="85"/>
      <c r="I526" s="98"/>
      <c r="J526" s="148"/>
    </row>
    <row r="527" spans="1:10" s="93" customFormat="1" ht="12" customHeight="1" outlineLevel="1">
      <c r="A527" s="99"/>
      <c r="B527" s="123"/>
      <c r="C527" s="112" t="s">
        <v>381</v>
      </c>
      <c r="D527" s="133"/>
      <c r="E527" s="88">
        <f>(3.6+1*2)*108</f>
        <v>604.8</v>
      </c>
      <c r="F527" s="84"/>
      <c r="G527" s="101"/>
      <c r="H527" s="85"/>
      <c r="I527" s="98"/>
      <c r="J527" s="148"/>
    </row>
    <row r="528" spans="1:10" s="93" customFormat="1" ht="12" customHeight="1">
      <c r="A528" s="99" t="s">
        <v>545</v>
      </c>
      <c r="B528" s="80" t="s">
        <v>130</v>
      </c>
      <c r="C528" s="81" t="s">
        <v>131</v>
      </c>
      <c r="D528" s="82" t="s">
        <v>2</v>
      </c>
      <c r="E528" s="83">
        <v>7.89</v>
      </c>
      <c r="F528" s="84"/>
      <c r="G528" s="101"/>
      <c r="H528" s="85"/>
      <c r="I528" s="86">
        <f>E528*H528*0.01</f>
        <v>0</v>
      </c>
      <c r="J528" s="148" t="s">
        <v>250</v>
      </c>
    </row>
    <row r="529" spans="1:10" s="93" customFormat="1" ht="11.25">
      <c r="A529" s="103"/>
      <c r="B529" s="69"/>
      <c r="C529" s="91" t="str">
        <f>CONCATENATE(B494," celkem")</f>
        <v>771 celkem</v>
      </c>
      <c r="D529" s="75"/>
      <c r="E529" s="69"/>
      <c r="F529" s="69"/>
      <c r="G529" s="109">
        <f>SUBTOTAL(9,G496:G527)</f>
        <v>5.493495599999999</v>
      </c>
      <c r="H529" s="69"/>
      <c r="I529" s="92">
        <f>SUBTOTAL(9,I496:I528)</f>
        <v>0</v>
      </c>
      <c r="J529" s="148"/>
    </row>
    <row r="530" spans="1:10" s="93" customFormat="1" ht="11.25">
      <c r="A530" s="103"/>
      <c r="C530" s="113"/>
      <c r="D530" s="103"/>
      <c r="G530" s="109"/>
      <c r="I530" s="110"/>
      <c r="J530" s="149"/>
    </row>
    <row r="531" spans="2:10" ht="11.25">
      <c r="B531" s="76" t="s">
        <v>6</v>
      </c>
      <c r="C531" s="77" t="s">
        <v>7</v>
      </c>
      <c r="G531" s="93"/>
      <c r="J531" s="148"/>
    </row>
    <row r="532" spans="7:10" ht="5.25" customHeight="1">
      <c r="G532" s="93"/>
      <c r="J532" s="148"/>
    </row>
    <row r="533" spans="1:10" ht="12.75" customHeight="1">
      <c r="A533" s="163" t="s">
        <v>546</v>
      </c>
      <c r="B533" s="80" t="s">
        <v>113</v>
      </c>
      <c r="C533" s="81" t="s">
        <v>114</v>
      </c>
      <c r="D533" s="82" t="s">
        <v>72</v>
      </c>
      <c r="E533" s="83">
        <f>SUM(E534:E538)</f>
        <v>3029.7524999999996</v>
      </c>
      <c r="F533" s="84">
        <v>0.01838</v>
      </c>
      <c r="G533" s="101">
        <f>E533*F533</f>
        <v>55.68685094999999</v>
      </c>
      <c r="H533" s="85"/>
      <c r="I533" s="86">
        <f>E533*H533</f>
        <v>0</v>
      </c>
      <c r="J533" s="148" t="s">
        <v>250</v>
      </c>
    </row>
    <row r="534" spans="1:10" s="93" customFormat="1" ht="12.75" customHeight="1" outlineLevel="1">
      <c r="A534" s="99"/>
      <c r="B534" s="96"/>
      <c r="C534" s="112" t="s">
        <v>95</v>
      </c>
      <c r="D534" s="133"/>
      <c r="E534" s="88">
        <v>0</v>
      </c>
      <c r="F534" s="100"/>
      <c r="G534" s="101"/>
      <c r="H534" s="102"/>
      <c r="I534" s="98"/>
      <c r="J534" s="149"/>
    </row>
    <row r="535" spans="1:10" s="93" customFormat="1" ht="12.75" customHeight="1" outlineLevel="1">
      <c r="A535" s="99"/>
      <c r="B535" s="96"/>
      <c r="C535" s="112" t="s">
        <v>412</v>
      </c>
      <c r="D535" s="95"/>
      <c r="E535" s="88">
        <f>(3.9+2.05+1.2+22.24+1.2+1.2+18.84+2*1.2)*21.9</f>
        <v>1161.3569999999997</v>
      </c>
      <c r="F535" s="100"/>
      <c r="G535" s="101"/>
      <c r="H535" s="102"/>
      <c r="I535" s="98"/>
      <c r="J535" s="149"/>
    </row>
    <row r="536" spans="1:10" s="93" customFormat="1" ht="12.75" customHeight="1" outlineLevel="1">
      <c r="A536" s="99"/>
      <c r="B536" s="96"/>
      <c r="C536" s="112" t="s">
        <v>413</v>
      </c>
      <c r="D536" s="95"/>
      <c r="E536" s="88">
        <f>(16.45+1*2+0.3)*20.9</f>
        <v>391.875</v>
      </c>
      <c r="F536" s="100"/>
      <c r="G536" s="101"/>
      <c r="H536" s="102"/>
      <c r="I536" s="98"/>
      <c r="J536" s="149"/>
    </row>
    <row r="537" spans="1:10" s="93" customFormat="1" ht="12.75" customHeight="1" outlineLevel="1">
      <c r="A537" s="99"/>
      <c r="B537" s="96"/>
      <c r="C537" s="112" t="s">
        <v>415</v>
      </c>
      <c r="D537" s="95"/>
      <c r="E537" s="88">
        <f>(25.64+4.8+2*1.2)*21.7+(18.95+2*1.2)*22.45</f>
        <v>1191.9355</v>
      </c>
      <c r="F537" s="100"/>
      <c r="G537" s="101"/>
      <c r="H537" s="102"/>
      <c r="I537" s="98"/>
      <c r="J537" s="149"/>
    </row>
    <row r="538" spans="1:10" s="93" customFormat="1" ht="12.75" customHeight="1" outlineLevel="1">
      <c r="A538" s="99"/>
      <c r="B538" s="96"/>
      <c r="C538" s="112" t="s">
        <v>414</v>
      </c>
      <c r="D538" s="95"/>
      <c r="E538" s="88">
        <f>(14.9+2*1.2)*16.45</f>
        <v>284.585</v>
      </c>
      <c r="F538" s="100"/>
      <c r="G538" s="101"/>
      <c r="H538" s="102"/>
      <c r="I538" s="98"/>
      <c r="J538" s="149"/>
    </row>
    <row r="539" spans="1:10" s="93" customFormat="1" ht="12.75" customHeight="1">
      <c r="A539" s="163" t="s">
        <v>547</v>
      </c>
      <c r="B539" s="80" t="s">
        <v>116</v>
      </c>
      <c r="C539" s="81" t="s">
        <v>115</v>
      </c>
      <c r="D539" s="82" t="s">
        <v>72</v>
      </c>
      <c r="E539" s="83">
        <f>E533*4</f>
        <v>12119.009999999998</v>
      </c>
      <c r="F539" s="84">
        <v>0.00085</v>
      </c>
      <c r="G539" s="101">
        <f>E539*F539</f>
        <v>10.301158499999998</v>
      </c>
      <c r="H539" s="85"/>
      <c r="I539" s="86">
        <f>E539*H539</f>
        <v>0</v>
      </c>
      <c r="J539" s="148" t="s">
        <v>250</v>
      </c>
    </row>
    <row r="540" spans="1:10" s="93" customFormat="1" ht="12.75" customHeight="1">
      <c r="A540" s="163" t="s">
        <v>548</v>
      </c>
      <c r="B540" s="80" t="s">
        <v>117</v>
      </c>
      <c r="C540" s="81" t="s">
        <v>118</v>
      </c>
      <c r="D540" s="82" t="s">
        <v>72</v>
      </c>
      <c r="E540" s="83">
        <f>SUM(E541:E544)</f>
        <v>3029.7524999999996</v>
      </c>
      <c r="F540" s="84">
        <v>0</v>
      </c>
      <c r="G540" s="101">
        <f>E540*F540</f>
        <v>0</v>
      </c>
      <c r="H540" s="85"/>
      <c r="I540" s="86">
        <f>E540*H540</f>
        <v>0</v>
      </c>
      <c r="J540" s="148" t="s">
        <v>250</v>
      </c>
    </row>
    <row r="541" spans="1:10" s="93" customFormat="1" ht="12.75" customHeight="1" outlineLevel="1">
      <c r="A541" s="99"/>
      <c r="B541" s="80"/>
      <c r="C541" s="112" t="s">
        <v>412</v>
      </c>
      <c r="D541" s="95"/>
      <c r="E541" s="88">
        <f>(3.9+2.05+1.2+22.24+1.2+1.2+18.84+2*1.2)*21.9</f>
        <v>1161.3569999999997</v>
      </c>
      <c r="F541" s="84"/>
      <c r="G541" s="101"/>
      <c r="H541" s="85"/>
      <c r="I541" s="98"/>
      <c r="J541" s="148"/>
    </row>
    <row r="542" spans="1:10" s="93" customFormat="1" ht="12.75" customHeight="1" outlineLevel="1">
      <c r="A542" s="99"/>
      <c r="B542" s="96"/>
      <c r="C542" s="112" t="s">
        <v>413</v>
      </c>
      <c r="D542" s="95"/>
      <c r="E542" s="88">
        <f>(16.45+1*2+0.3)*20.9</f>
        <v>391.875</v>
      </c>
      <c r="F542" s="100"/>
      <c r="G542" s="101"/>
      <c r="H542" s="102"/>
      <c r="I542" s="98"/>
      <c r="J542" s="149"/>
    </row>
    <row r="543" spans="1:10" s="93" customFormat="1" ht="12.75" customHeight="1" outlineLevel="1">
      <c r="A543" s="99"/>
      <c r="B543" s="96"/>
      <c r="C543" s="112" t="s">
        <v>415</v>
      </c>
      <c r="D543" s="95"/>
      <c r="E543" s="88">
        <f>(25.64+4.8+2*1.2)*21.7+(18.95+2*1.2)*22.45</f>
        <v>1191.9355</v>
      </c>
      <c r="F543" s="100"/>
      <c r="G543" s="101"/>
      <c r="H543" s="102"/>
      <c r="I543" s="98"/>
      <c r="J543" s="149"/>
    </row>
    <row r="544" spans="1:10" s="93" customFormat="1" ht="12.75" customHeight="1" outlineLevel="1">
      <c r="A544" s="99"/>
      <c r="B544" s="80"/>
      <c r="C544" s="112" t="s">
        <v>414</v>
      </c>
      <c r="D544" s="95"/>
      <c r="E544" s="88">
        <f>(14.9+2*1.2)*16.45</f>
        <v>284.585</v>
      </c>
      <c r="F544" s="84"/>
      <c r="G544" s="101"/>
      <c r="H544" s="85"/>
      <c r="I544" s="98"/>
      <c r="J544" s="148"/>
    </row>
    <row r="545" spans="3:10" ht="12.75" customHeight="1">
      <c r="C545" s="91" t="str">
        <f>CONCATENATE(B531," celkem")</f>
        <v>94 celkem</v>
      </c>
      <c r="G545" s="109">
        <f>SUBTOTAL(9,G533:G544)</f>
        <v>65.98800944999999</v>
      </c>
      <c r="I545" s="92">
        <f>SUBTOTAL(9,I533:I544)</f>
        <v>0</v>
      </c>
      <c r="J545" s="148"/>
    </row>
    <row r="546" spans="1:10" s="93" customFormat="1" ht="11.25">
      <c r="A546" s="103"/>
      <c r="C546" s="113"/>
      <c r="D546" s="103"/>
      <c r="G546" s="109"/>
      <c r="I546" s="110"/>
      <c r="J546" s="149"/>
    </row>
    <row r="547" spans="2:10" ht="11.25">
      <c r="B547" s="76" t="s">
        <v>212</v>
      </c>
      <c r="C547" s="77" t="s">
        <v>213</v>
      </c>
      <c r="G547" s="93"/>
      <c r="J547" s="148"/>
    </row>
    <row r="548" spans="7:10" ht="5.25" customHeight="1">
      <c r="G548" s="93"/>
      <c r="J548" s="148"/>
    </row>
    <row r="549" spans="1:10" ht="13.5" customHeight="1">
      <c r="A549" s="163" t="s">
        <v>549</v>
      </c>
      <c r="B549" s="80" t="s">
        <v>215</v>
      </c>
      <c r="C549" s="81" t="s">
        <v>244</v>
      </c>
      <c r="D549" s="82" t="s">
        <v>74</v>
      </c>
      <c r="E549" s="83">
        <f>SUM(E550:E551)</f>
        <v>16.2</v>
      </c>
      <c r="F549" s="84">
        <v>0.01838</v>
      </c>
      <c r="G549" s="101">
        <f>E549*F549</f>
        <v>0.297756</v>
      </c>
      <c r="H549" s="85"/>
      <c r="I549" s="86">
        <f>E549*H549</f>
        <v>0</v>
      </c>
      <c r="J549" s="148" t="s">
        <v>250</v>
      </c>
    </row>
    <row r="550" spans="1:10" s="93" customFormat="1" ht="12" customHeight="1" outlineLevel="1">
      <c r="A550" s="99"/>
      <c r="B550" s="96"/>
      <c r="C550" s="112" t="s">
        <v>416</v>
      </c>
      <c r="D550" s="133"/>
      <c r="E550" s="88">
        <v>0</v>
      </c>
      <c r="F550" s="100"/>
      <c r="G550" s="101"/>
      <c r="H550" s="102"/>
      <c r="I550" s="98"/>
      <c r="J550" s="149"/>
    </row>
    <row r="551" spans="1:10" s="93" customFormat="1" ht="12" customHeight="1" outlineLevel="1">
      <c r="A551" s="99"/>
      <c r="B551" s="96"/>
      <c r="C551" s="112" t="s">
        <v>417</v>
      </c>
      <c r="D551" s="95"/>
      <c r="E551" s="88">
        <f>108*0.15</f>
        <v>16.2</v>
      </c>
      <c r="F551" s="100"/>
      <c r="G551" s="101"/>
      <c r="H551" s="102"/>
      <c r="I551" s="98"/>
      <c r="J551" s="149"/>
    </row>
    <row r="552" spans="1:10" s="93" customFormat="1" ht="12.75" customHeight="1">
      <c r="A552" s="99" t="s">
        <v>550</v>
      </c>
      <c r="B552" s="96" t="s">
        <v>463</v>
      </c>
      <c r="C552" s="157" t="s">
        <v>464</v>
      </c>
      <c r="D552" s="95" t="s">
        <v>171</v>
      </c>
      <c r="E552" s="124">
        <f>E553</f>
        <v>2</v>
      </c>
      <c r="F552" s="100">
        <v>0.00281</v>
      </c>
      <c r="G552" s="101">
        <f>E552*F552</f>
        <v>0.00562</v>
      </c>
      <c r="H552" s="102"/>
      <c r="I552" s="160">
        <f>E552*H552</f>
        <v>0</v>
      </c>
      <c r="J552" s="149" t="s">
        <v>89</v>
      </c>
    </row>
    <row r="553" spans="1:10" s="93" customFormat="1" ht="11.25" outlineLevel="1">
      <c r="A553" s="99"/>
      <c r="B553" s="96"/>
      <c r="C553" s="158" t="s">
        <v>465</v>
      </c>
      <c r="D553" s="159"/>
      <c r="E553" s="139">
        <v>2</v>
      </c>
      <c r="F553" s="100"/>
      <c r="G553" s="101"/>
      <c r="H553" s="102"/>
      <c r="I553" s="98"/>
      <c r="J553" s="149"/>
    </row>
    <row r="554" spans="1:10" s="93" customFormat="1" ht="12.75" customHeight="1">
      <c r="A554" s="99" t="s">
        <v>551</v>
      </c>
      <c r="B554" s="80" t="s">
        <v>216</v>
      </c>
      <c r="C554" s="81" t="s">
        <v>237</v>
      </c>
      <c r="D554" s="82" t="s">
        <v>171</v>
      </c>
      <c r="E554" s="83">
        <f>E555</f>
        <v>108</v>
      </c>
      <c r="F554" s="84">
        <v>0.00281</v>
      </c>
      <c r="G554" s="101">
        <f>E554*F554</f>
        <v>0.30347999999999997</v>
      </c>
      <c r="H554" s="85"/>
      <c r="I554" s="86">
        <f>E554*H554</f>
        <v>0</v>
      </c>
      <c r="J554" s="148" t="s">
        <v>250</v>
      </c>
    </row>
    <row r="555" spans="1:10" s="93" customFormat="1" ht="11.25" outlineLevel="1">
      <c r="A555" s="99"/>
      <c r="B555" s="80"/>
      <c r="C555" s="112" t="s">
        <v>217</v>
      </c>
      <c r="D555" s="133"/>
      <c r="E555" s="88">
        <v>108</v>
      </c>
      <c r="F555" s="84"/>
      <c r="G555" s="101"/>
      <c r="H555" s="85"/>
      <c r="I555" s="98"/>
      <c r="J555" s="148"/>
    </row>
    <row r="556" spans="1:10" s="93" customFormat="1" ht="11.25">
      <c r="A556" s="99" t="s">
        <v>552</v>
      </c>
      <c r="B556" s="147" t="s">
        <v>234</v>
      </c>
      <c r="C556" s="81" t="s">
        <v>218</v>
      </c>
      <c r="D556" s="82" t="s">
        <v>171</v>
      </c>
      <c r="E556" s="83">
        <f>E554</f>
        <v>108</v>
      </c>
      <c r="F556" s="84">
        <v>0.00085</v>
      </c>
      <c r="G556" s="101">
        <f>E556*F556</f>
        <v>0.09179999999999999</v>
      </c>
      <c r="H556" s="85"/>
      <c r="I556" s="86">
        <f>E556*H556</f>
        <v>0</v>
      </c>
      <c r="J556" s="148"/>
    </row>
    <row r="557" spans="3:10" ht="11.25">
      <c r="C557" s="91" t="str">
        <f>CONCATENATE(B547," celkem")</f>
        <v>95 celkem</v>
      </c>
      <c r="G557" s="109">
        <f>SUBTOTAL(9,G549:G556)</f>
        <v>0.698656</v>
      </c>
      <c r="I557" s="92">
        <f>SUBTOTAL(9,I549:I556)</f>
        <v>0</v>
      </c>
      <c r="J557" s="148"/>
    </row>
    <row r="558" spans="3:10" ht="11.25">
      <c r="C558" s="91"/>
      <c r="G558" s="109"/>
      <c r="I558" s="110"/>
      <c r="J558" s="148"/>
    </row>
    <row r="559" spans="2:10" ht="11.25">
      <c r="B559" s="76" t="s">
        <v>8</v>
      </c>
      <c r="C559" s="77" t="s">
        <v>9</v>
      </c>
      <c r="J559" s="148"/>
    </row>
    <row r="560" ht="6" customHeight="1">
      <c r="J560" s="148"/>
    </row>
    <row r="561" spans="1:10" ht="12.75" customHeight="1">
      <c r="A561" s="99" t="s">
        <v>553</v>
      </c>
      <c r="B561" s="80" t="s">
        <v>220</v>
      </c>
      <c r="C561" s="81" t="s">
        <v>221</v>
      </c>
      <c r="D561" s="82" t="s">
        <v>10</v>
      </c>
      <c r="E561" s="83">
        <f>G568+G573+G570</f>
        <v>25.2472</v>
      </c>
      <c r="F561" s="84">
        <v>0</v>
      </c>
      <c r="G561" s="106" t="str">
        <f aca="true" t="shared" si="0" ref="G561:G566">FIXED(E561*F561,3,TRUE)</f>
        <v>0,000</v>
      </c>
      <c r="H561" s="85"/>
      <c r="I561" s="86">
        <f aca="true" t="shared" si="1" ref="I561:I566">E561*H561</f>
        <v>0</v>
      </c>
      <c r="J561" s="148" t="s">
        <v>250</v>
      </c>
    </row>
    <row r="562" spans="1:10" ht="12.75" customHeight="1">
      <c r="A562" s="99" t="s">
        <v>554</v>
      </c>
      <c r="B562" s="80" t="s">
        <v>222</v>
      </c>
      <c r="C562" s="81" t="s">
        <v>418</v>
      </c>
      <c r="D562" s="82" t="s">
        <v>10</v>
      </c>
      <c r="E562" s="83">
        <f>E561*6</f>
        <v>151.4832</v>
      </c>
      <c r="F562" s="84">
        <v>0</v>
      </c>
      <c r="G562" s="106" t="str">
        <f t="shared" si="0"/>
        <v>0,000</v>
      </c>
      <c r="H562" s="85"/>
      <c r="I562" s="86">
        <f t="shared" si="1"/>
        <v>0</v>
      </c>
      <c r="J562" s="148" t="s">
        <v>250</v>
      </c>
    </row>
    <row r="563" spans="1:10" ht="12.75" customHeight="1">
      <c r="A563" s="99" t="s">
        <v>555</v>
      </c>
      <c r="B563" s="80" t="s">
        <v>227</v>
      </c>
      <c r="C563" s="81" t="s">
        <v>228</v>
      </c>
      <c r="D563" s="82" t="s">
        <v>10</v>
      </c>
      <c r="E563" s="83">
        <f>E561</f>
        <v>25.2472</v>
      </c>
      <c r="F563" s="84">
        <v>0</v>
      </c>
      <c r="G563" s="106" t="str">
        <f t="shared" si="0"/>
        <v>0,000</v>
      </c>
      <c r="H563" s="85"/>
      <c r="I563" s="86">
        <f t="shared" si="1"/>
        <v>0</v>
      </c>
      <c r="J563" s="148" t="s">
        <v>250</v>
      </c>
    </row>
    <row r="564" spans="1:10" ht="12.75" customHeight="1">
      <c r="A564" s="99" t="s">
        <v>556</v>
      </c>
      <c r="B564" s="80" t="s">
        <v>229</v>
      </c>
      <c r="C564" s="81" t="s">
        <v>230</v>
      </c>
      <c r="D564" s="82" t="s">
        <v>10</v>
      </c>
      <c r="E564" s="83">
        <f>E561*8</f>
        <v>201.9776</v>
      </c>
      <c r="F564" s="84">
        <v>0</v>
      </c>
      <c r="G564" s="106" t="str">
        <f t="shared" si="0"/>
        <v>0,000</v>
      </c>
      <c r="H564" s="85"/>
      <c r="I564" s="86">
        <f t="shared" si="1"/>
        <v>0</v>
      </c>
      <c r="J564" s="148" t="s">
        <v>250</v>
      </c>
    </row>
    <row r="565" spans="1:10" ht="12.75" customHeight="1">
      <c r="A565" s="99" t="s">
        <v>557</v>
      </c>
      <c r="B565" s="80" t="s">
        <v>11</v>
      </c>
      <c r="C565" s="81" t="s">
        <v>12</v>
      </c>
      <c r="D565" s="82" t="s">
        <v>10</v>
      </c>
      <c r="E565" s="83">
        <f>E563</f>
        <v>25.2472</v>
      </c>
      <c r="F565" s="84">
        <v>0</v>
      </c>
      <c r="G565" s="106" t="str">
        <f t="shared" si="0"/>
        <v>0,000</v>
      </c>
      <c r="H565" s="85"/>
      <c r="I565" s="86">
        <f t="shared" si="1"/>
        <v>0</v>
      </c>
      <c r="J565" s="148" t="s">
        <v>250</v>
      </c>
    </row>
    <row r="566" spans="1:10" ht="12.75" customHeight="1">
      <c r="A566" s="99" t="s">
        <v>6</v>
      </c>
      <c r="B566" s="80" t="s">
        <v>119</v>
      </c>
      <c r="C566" s="81" t="s">
        <v>120</v>
      </c>
      <c r="D566" s="82" t="s">
        <v>10</v>
      </c>
      <c r="E566" s="83">
        <f>E563*12</f>
        <v>302.9664</v>
      </c>
      <c r="F566" s="84">
        <v>0</v>
      </c>
      <c r="G566" s="106" t="str">
        <f t="shared" si="0"/>
        <v>0,000</v>
      </c>
      <c r="H566" s="85"/>
      <c r="I566" s="86">
        <f t="shared" si="1"/>
        <v>0</v>
      </c>
      <c r="J566" s="148" t="s">
        <v>250</v>
      </c>
    </row>
    <row r="567" spans="1:10" ht="12.75" customHeight="1">
      <c r="A567" s="99" t="s">
        <v>212</v>
      </c>
      <c r="B567" s="80" t="s">
        <v>419</v>
      </c>
      <c r="C567" s="81" t="s">
        <v>420</v>
      </c>
      <c r="D567" s="82" t="s">
        <v>10</v>
      </c>
      <c r="E567" s="83">
        <f>E561</f>
        <v>25.2472</v>
      </c>
      <c r="F567" s="84">
        <v>0</v>
      </c>
      <c r="G567" s="106" t="str">
        <f>FIXED(E567*F567,3,TRUE)</f>
        <v>0,000</v>
      </c>
      <c r="H567" s="85"/>
      <c r="I567" s="86">
        <f>E567*H567</f>
        <v>0</v>
      </c>
      <c r="J567" s="148" t="s">
        <v>250</v>
      </c>
    </row>
    <row r="568" spans="1:10" s="93" customFormat="1" ht="12.75" customHeight="1">
      <c r="A568" s="99" t="s">
        <v>8</v>
      </c>
      <c r="B568" s="80" t="s">
        <v>223</v>
      </c>
      <c r="C568" s="81" t="s">
        <v>224</v>
      </c>
      <c r="D568" s="82" t="s">
        <v>72</v>
      </c>
      <c r="E568" s="83">
        <f>E569</f>
        <v>4510.553350000001</v>
      </c>
      <c r="F568" s="84">
        <v>0.00089</v>
      </c>
      <c r="G568" s="97" t="str">
        <f>FIXED(E568*F568,3,TRUE)</f>
        <v>4,014</v>
      </c>
      <c r="H568" s="85"/>
      <c r="I568" s="86">
        <f>E568*H568</f>
        <v>0</v>
      </c>
      <c r="J568" s="148" t="s">
        <v>250</v>
      </c>
    </row>
    <row r="569" spans="1:10" s="93" customFormat="1" ht="12.75" customHeight="1" outlineLevel="1">
      <c r="A569" s="99"/>
      <c r="B569" s="80"/>
      <c r="C569" s="135" t="s">
        <v>225</v>
      </c>
      <c r="D569" s="104"/>
      <c r="E569" s="88">
        <f>E320</f>
        <v>4510.553350000001</v>
      </c>
      <c r="F569" s="84"/>
      <c r="G569" s="106"/>
      <c r="H569" s="85"/>
      <c r="I569" s="98"/>
      <c r="J569" s="148"/>
    </row>
    <row r="570" spans="1:10" ht="12.75" customHeight="1">
      <c r="A570" s="99" t="s">
        <v>558</v>
      </c>
      <c r="B570" s="89" t="s">
        <v>421</v>
      </c>
      <c r="C570" s="81" t="s">
        <v>422</v>
      </c>
      <c r="D570" s="82" t="s">
        <v>72</v>
      </c>
      <c r="E570" s="83">
        <f>SUM(E571:E572)</f>
        <v>466.56000000000006</v>
      </c>
      <c r="F570" s="84">
        <v>0.02</v>
      </c>
      <c r="G570" s="132">
        <f>E570*F570</f>
        <v>9.3312</v>
      </c>
      <c r="H570" s="85"/>
      <c r="I570" s="86">
        <f>E570*H570</f>
        <v>0</v>
      </c>
      <c r="J570" s="148" t="s">
        <v>250</v>
      </c>
    </row>
    <row r="571" spans="1:10" ht="12.75" customHeight="1" outlineLevel="1">
      <c r="A571" s="93"/>
      <c r="B571" s="105"/>
      <c r="C571" s="115" t="s">
        <v>423</v>
      </c>
      <c r="D571" s="87"/>
      <c r="E571" s="116">
        <v>0</v>
      </c>
      <c r="F571" s="100"/>
      <c r="G571" s="101"/>
      <c r="H571" s="102"/>
      <c r="I571" s="98"/>
      <c r="J571" s="149"/>
    </row>
    <row r="572" spans="1:10" s="93" customFormat="1" ht="12.75" customHeight="1" outlineLevel="1">
      <c r="A572" s="99"/>
      <c r="B572" s="96"/>
      <c r="C572" s="112" t="s">
        <v>405</v>
      </c>
      <c r="D572" s="95"/>
      <c r="E572" s="88">
        <f>3.6*1.2*108</f>
        <v>466.56000000000006</v>
      </c>
      <c r="F572" s="100"/>
      <c r="G572" s="101"/>
      <c r="H572" s="102"/>
      <c r="I572" s="98"/>
      <c r="J572" s="149"/>
    </row>
    <row r="573" spans="1:10" s="93" customFormat="1" ht="12.75" customHeight="1">
      <c r="A573" s="99" t="s">
        <v>576</v>
      </c>
      <c r="B573" s="80" t="s">
        <v>424</v>
      </c>
      <c r="C573" s="81" t="s">
        <v>425</v>
      </c>
      <c r="D573" s="82" t="s">
        <v>72</v>
      </c>
      <c r="E573" s="83">
        <f>SUM(E574:E575)</f>
        <v>466.56000000000006</v>
      </c>
      <c r="F573" s="84">
        <v>0.02551</v>
      </c>
      <c r="G573" s="97" t="str">
        <f>FIXED(E573*F573,3,TRUE)</f>
        <v>11,902</v>
      </c>
      <c r="H573" s="85"/>
      <c r="I573" s="86">
        <f>E573*H573</f>
        <v>0</v>
      </c>
      <c r="J573" s="148" t="s">
        <v>250</v>
      </c>
    </row>
    <row r="574" spans="1:10" s="93" customFormat="1" ht="12.75" customHeight="1" outlineLevel="1">
      <c r="A574" s="99"/>
      <c r="B574" s="96"/>
      <c r="C574" s="115" t="s">
        <v>423</v>
      </c>
      <c r="D574" s="87"/>
      <c r="E574" s="116">
        <v>0</v>
      </c>
      <c r="F574" s="100"/>
      <c r="G574" s="101"/>
      <c r="H574" s="102"/>
      <c r="I574" s="98"/>
      <c r="J574" s="149"/>
    </row>
    <row r="575" spans="1:10" s="93" customFormat="1" ht="12.75" customHeight="1" outlineLevel="1">
      <c r="A575" s="99"/>
      <c r="B575" s="96"/>
      <c r="C575" s="112" t="s">
        <v>405</v>
      </c>
      <c r="D575" s="95"/>
      <c r="E575" s="88">
        <f>3.6*1.2*108</f>
        <v>466.56000000000006</v>
      </c>
      <c r="F575" s="100"/>
      <c r="G575" s="101"/>
      <c r="H575" s="102"/>
      <c r="I575" s="98"/>
      <c r="J575" s="149"/>
    </row>
    <row r="576" spans="3:10" ht="12.75" customHeight="1">
      <c r="C576" s="91" t="str">
        <f>CONCATENATE(B559," celkem")</f>
        <v>96 celkem</v>
      </c>
      <c r="G576" s="109"/>
      <c r="I576" s="92">
        <f>SUBTOTAL(9,I561:I575)</f>
        <v>0</v>
      </c>
      <c r="J576" s="148"/>
    </row>
    <row r="577" ht="10.5" customHeight="1">
      <c r="J577" s="148"/>
    </row>
    <row r="578" spans="2:10" ht="12" customHeight="1">
      <c r="B578" s="76" t="s">
        <v>0</v>
      </c>
      <c r="C578" s="77" t="s">
        <v>1</v>
      </c>
      <c r="J578" s="148"/>
    </row>
    <row r="579" ht="5.25" customHeight="1">
      <c r="J579" s="148"/>
    </row>
    <row r="580" spans="1:10" ht="15" customHeight="1">
      <c r="A580" s="99" t="s">
        <v>0</v>
      </c>
      <c r="B580" s="80" t="s">
        <v>426</v>
      </c>
      <c r="C580" s="81" t="s">
        <v>427</v>
      </c>
      <c r="D580" s="82" t="s">
        <v>10</v>
      </c>
      <c r="E580" s="83">
        <f>G12+G481+G557+G357+G492+G545+G39+G471</f>
        <v>273.71597971525</v>
      </c>
      <c r="F580" s="84">
        <v>0</v>
      </c>
      <c r="G580" s="101">
        <f>E580*F580</f>
        <v>0</v>
      </c>
      <c r="H580" s="85"/>
      <c r="I580" s="86">
        <f>E580*H580</f>
        <v>0</v>
      </c>
      <c r="J580" s="148" t="s">
        <v>250</v>
      </c>
    </row>
    <row r="581" spans="3:10" ht="15" customHeight="1">
      <c r="C581" s="91" t="str">
        <f>CONCATENATE(B578," celkem")</f>
        <v>99 celkem</v>
      </c>
      <c r="G581" s="109">
        <f>SUBTOTAL(9,G580:G580)</f>
        <v>0</v>
      </c>
      <c r="I581" s="92">
        <f>SUBTOTAL(9,I580:I580)</f>
        <v>0</v>
      </c>
      <c r="J581" s="148"/>
    </row>
    <row r="582" spans="3:10" ht="15" customHeight="1">
      <c r="C582" s="91"/>
      <c r="G582" s="109"/>
      <c r="I582" s="110"/>
      <c r="J582" s="148"/>
    </row>
  </sheetData>
  <sheetProtection/>
  <mergeCells count="16">
    <mergeCell ref="H1:I1"/>
    <mergeCell ref="J1:J2"/>
    <mergeCell ref="D1:D2"/>
    <mergeCell ref="F1:F2"/>
    <mergeCell ref="G1:G2"/>
    <mergeCell ref="C1:C2"/>
    <mergeCell ref="E1:E2"/>
    <mergeCell ref="C165:D165"/>
    <mergeCell ref="C433:D433"/>
    <mergeCell ref="C204:D204"/>
    <mergeCell ref="C175:D175"/>
    <mergeCell ref="A1:A2"/>
    <mergeCell ref="B1:B2"/>
    <mergeCell ref="C17:E17"/>
    <mergeCell ref="C157:D157"/>
    <mergeCell ref="C151:D151"/>
  </mergeCells>
  <printOptions/>
  <pageMargins left="0.8267716535433072" right="0.31496062992125984" top="0.7874015748031497" bottom="0.6299212598425197" header="0.4724409448818898" footer="0.35433070866141736"/>
  <pageSetup horizontalDpi="600" verticalDpi="600" orientation="portrait" paperSize="9" r:id="rId1"/>
  <headerFooter alignWithMargins="0">
    <oddHeader>&amp;L&amp;9Kopřivnice, Česká 320&amp;C&amp;"Arial CE,Tučné"&amp;12VÝKAZ VÝMĚR - ZPŮSOBILÉ&amp;R&amp;9Revitalizace objektu</oddHeader>
    <oddFooter>&amp;R&amp;8Strana&amp;P z &amp;N stran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Miloš Sopuch</cp:lastModifiedBy>
  <cp:lastPrinted>2016-09-15T05:51:48Z</cp:lastPrinted>
  <dcterms:created xsi:type="dcterms:W3CDTF">2000-09-05T09:25:34Z</dcterms:created>
  <dcterms:modified xsi:type="dcterms:W3CDTF">2017-12-06T10:22:23Z</dcterms:modified>
  <cp:category/>
  <cp:version/>
  <cp:contentType/>
  <cp:contentStatus/>
</cp:coreProperties>
</file>