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:\PROFILE\VZ 2025\Rampa 650\"/>
    </mc:Choice>
  </mc:AlternateContent>
  <xr:revisionPtr revIDLastSave="0" documentId="13_ncr:1_{4D725EBA-46CD-4C9F-82EB-EA1F9394FD98}" xr6:coauthVersionLast="47" xr6:coauthVersionMax="47" xr10:uidLastSave="{00000000-0000-0000-0000-000000000000}"/>
  <bookViews>
    <workbookView xWindow="-120" yWindow="-120" windowWidth="38640" windowHeight="21240" activeTab="3" xr2:uid="{00000000-000D-0000-FFFF-FFFF00000000}"/>
  </bookViews>
  <sheets>
    <sheet name="Krycí list rozpočtu" sheetId="4" r:id="rId1"/>
    <sheet name="VORN" sheetId="5" r:id="rId2"/>
    <sheet name="Stavební rozpočet - součet" sheetId="3" r:id="rId3"/>
    <sheet name="Stavební rozpočet" sheetId="1" r:id="rId4"/>
    <sheet name="Rozpočet - vybrané sloupce" sheetId="2" r:id="rId5"/>
  </sheets>
  <definedNames>
    <definedName name="vorn_sum">VORN!$I$40</definedName>
  </definedNames>
  <calcPr calcId="181029"/>
</workbook>
</file>

<file path=xl/calcChain.xml><?xml version="1.0" encoding="utf-8"?>
<calcChain xmlns="http://schemas.openxmlformats.org/spreadsheetml/2006/main">
  <c r="I39" i="5" l="1"/>
  <c r="I38" i="5"/>
  <c r="I37" i="5"/>
  <c r="I36" i="5"/>
  <c r="I35" i="5"/>
  <c r="I26" i="5"/>
  <c r="I25" i="5"/>
  <c r="I24" i="5"/>
  <c r="I17" i="4" s="1"/>
  <c r="I23" i="5"/>
  <c r="I22" i="5"/>
  <c r="I15" i="4" s="1"/>
  <c r="I21" i="5"/>
  <c r="I14" i="4" s="1"/>
  <c r="I18" i="5"/>
  <c r="I17" i="5"/>
  <c r="I16" i="5"/>
  <c r="I15" i="5"/>
  <c r="I10" i="5"/>
  <c r="F10" i="5"/>
  <c r="C10" i="5"/>
  <c r="F8" i="5"/>
  <c r="C8" i="5"/>
  <c r="F6" i="5"/>
  <c r="C6" i="5"/>
  <c r="F4" i="5"/>
  <c r="C4" i="5"/>
  <c r="F2" i="5"/>
  <c r="C2" i="5"/>
  <c r="I19" i="4"/>
  <c r="I18" i="4"/>
  <c r="I16" i="4"/>
  <c r="F16" i="4"/>
  <c r="F15" i="4"/>
  <c r="F14" i="4"/>
  <c r="F22" i="4" s="1"/>
  <c r="I10" i="4"/>
  <c r="F10" i="4"/>
  <c r="C10" i="4"/>
  <c r="F8" i="4"/>
  <c r="C8" i="4"/>
  <c r="F6" i="4"/>
  <c r="C6" i="4"/>
  <c r="F4" i="4"/>
  <c r="C4" i="4"/>
  <c r="F2" i="4"/>
  <c r="C2" i="4"/>
  <c r="G8" i="3"/>
  <c r="C8" i="3"/>
  <c r="G6" i="3"/>
  <c r="C6" i="3"/>
  <c r="G4" i="3"/>
  <c r="C4" i="3"/>
  <c r="G2" i="3"/>
  <c r="C2" i="3"/>
  <c r="M67" i="2"/>
  <c r="M66" i="2" s="1"/>
  <c r="L67" i="2"/>
  <c r="H67" i="2"/>
  <c r="IS67" i="2" s="1"/>
  <c r="G67" i="2"/>
  <c r="H65" i="2"/>
  <c r="IS65" i="2" s="1"/>
  <c r="L64" i="2"/>
  <c r="M64" i="2" s="1"/>
  <c r="H64" i="2"/>
  <c r="IR64" i="2" s="1"/>
  <c r="I64" i="2" s="1"/>
  <c r="G64" i="2"/>
  <c r="H62" i="2"/>
  <c r="IS62" i="2" s="1"/>
  <c r="M61" i="2"/>
  <c r="L61" i="2"/>
  <c r="H61" i="2"/>
  <c r="IS61" i="2" s="1"/>
  <c r="G61" i="2"/>
  <c r="H59" i="2"/>
  <c r="IS59" i="2" s="1"/>
  <c r="H58" i="2"/>
  <c r="IS58" i="2" s="1"/>
  <c r="L57" i="2"/>
  <c r="H57" i="2"/>
  <c r="IS57" i="2" s="1"/>
  <c r="G57" i="2"/>
  <c r="L55" i="2"/>
  <c r="M55" i="2" s="1"/>
  <c r="H55" i="2"/>
  <c r="IR55" i="2" s="1"/>
  <c r="I55" i="2" s="1"/>
  <c r="G55" i="2"/>
  <c r="L54" i="2"/>
  <c r="H54" i="2"/>
  <c r="IS54" i="2" s="1"/>
  <c r="G54" i="2"/>
  <c r="L52" i="2"/>
  <c r="H52" i="2"/>
  <c r="IR52" i="2" s="1"/>
  <c r="G52" i="2"/>
  <c r="M52" i="2" s="1"/>
  <c r="L51" i="2"/>
  <c r="H51" i="2"/>
  <c r="IS51" i="2" s="1"/>
  <c r="G51" i="2"/>
  <c r="M50" i="2"/>
  <c r="L50" i="2"/>
  <c r="H50" i="2"/>
  <c r="IS50" i="2" s="1"/>
  <c r="G50" i="2"/>
  <c r="L49" i="2"/>
  <c r="M49" i="2" s="1"/>
  <c r="H49" i="2"/>
  <c r="IS49" i="2" s="1"/>
  <c r="G49" i="2"/>
  <c r="L46" i="2"/>
  <c r="H46" i="2"/>
  <c r="IR46" i="2" s="1"/>
  <c r="G46" i="2"/>
  <c r="L44" i="2"/>
  <c r="H44" i="2"/>
  <c r="IS44" i="2" s="1"/>
  <c r="G44" i="2"/>
  <c r="L42" i="2"/>
  <c r="M42" i="2" s="1"/>
  <c r="H42" i="2"/>
  <c r="IR42" i="2" s="1"/>
  <c r="I42" i="2" s="1"/>
  <c r="G42" i="2"/>
  <c r="L40" i="2"/>
  <c r="H40" i="2"/>
  <c r="IS40" i="2" s="1"/>
  <c r="G40" i="2"/>
  <c r="L38" i="2"/>
  <c r="H38" i="2"/>
  <c r="IR38" i="2" s="1"/>
  <c r="G38" i="2"/>
  <c r="M38" i="2" s="1"/>
  <c r="L37" i="2"/>
  <c r="M37" i="2" s="1"/>
  <c r="H37" i="2"/>
  <c r="IS37" i="2" s="1"/>
  <c r="G37" i="2"/>
  <c r="L34" i="2"/>
  <c r="M34" i="2" s="1"/>
  <c r="H34" i="2"/>
  <c r="IS34" i="2" s="1"/>
  <c r="J34" i="2" s="1"/>
  <c r="G34" i="2"/>
  <c r="H33" i="2"/>
  <c r="IS33" i="2" s="1"/>
  <c r="IS32" i="2"/>
  <c r="J32" i="2" s="1"/>
  <c r="L32" i="2"/>
  <c r="H32" i="2"/>
  <c r="IR32" i="2" s="1"/>
  <c r="G32" i="2"/>
  <c r="M32" i="2" s="1"/>
  <c r="IR31" i="2"/>
  <c r="H31" i="2"/>
  <c r="IS31" i="2" s="1"/>
  <c r="L30" i="2"/>
  <c r="M30" i="2" s="1"/>
  <c r="H30" i="2"/>
  <c r="IS30" i="2" s="1"/>
  <c r="J30" i="2" s="1"/>
  <c r="G30" i="2"/>
  <c r="H28" i="2"/>
  <c r="IS28" i="2" s="1"/>
  <c r="IS27" i="2"/>
  <c r="J27" i="2" s="1"/>
  <c r="L27" i="2"/>
  <c r="H27" i="2"/>
  <c r="IR27" i="2" s="1"/>
  <c r="G27" i="2"/>
  <c r="M27" i="2" s="1"/>
  <c r="L26" i="2"/>
  <c r="H26" i="2"/>
  <c r="IS26" i="2" s="1"/>
  <c r="G26" i="2"/>
  <c r="H24" i="2"/>
  <c r="IR24" i="2" s="1"/>
  <c r="L23" i="2"/>
  <c r="H23" i="2"/>
  <c r="IS23" i="2" s="1"/>
  <c r="G23" i="2"/>
  <c r="L21" i="2"/>
  <c r="H21" i="2"/>
  <c r="IR21" i="2" s="1"/>
  <c r="G21" i="2"/>
  <c r="L20" i="2"/>
  <c r="M20" i="2" s="1"/>
  <c r="H20" i="2"/>
  <c r="IS20" i="2" s="1"/>
  <c r="J20" i="2" s="1"/>
  <c r="G20" i="2"/>
  <c r="L19" i="2"/>
  <c r="M19" i="2" s="1"/>
  <c r="H19" i="2"/>
  <c r="IR19" i="2" s="1"/>
  <c r="I19" i="2" s="1"/>
  <c r="G19" i="2"/>
  <c r="L18" i="2"/>
  <c r="M18" i="2" s="1"/>
  <c r="H18" i="2"/>
  <c r="IS18" i="2" s="1"/>
  <c r="J18" i="2" s="1"/>
  <c r="G18" i="2"/>
  <c r="H16" i="2"/>
  <c r="IR16" i="2" s="1"/>
  <c r="L15" i="2"/>
  <c r="M15" i="2" s="1"/>
  <c r="H15" i="2"/>
  <c r="IS15" i="2" s="1"/>
  <c r="J15" i="2" s="1"/>
  <c r="G15" i="2"/>
  <c r="L13" i="2"/>
  <c r="H13" i="2"/>
  <c r="IR13" i="2" s="1"/>
  <c r="G13" i="2"/>
  <c r="M13" i="2" s="1"/>
  <c r="L12" i="2"/>
  <c r="H12" i="2"/>
  <c r="IS12" i="2" s="1"/>
  <c r="G12" i="2"/>
  <c r="G8" i="2"/>
  <c r="E8" i="2"/>
  <c r="C8" i="2"/>
  <c r="G6" i="2"/>
  <c r="E6" i="2"/>
  <c r="C6" i="2"/>
  <c r="G4" i="2"/>
  <c r="E4" i="2"/>
  <c r="C4" i="2"/>
  <c r="G2" i="2"/>
  <c r="E2" i="2"/>
  <c r="C2" i="2"/>
  <c r="BW59" i="1"/>
  <c r="BJ59" i="1"/>
  <c r="BD59" i="1"/>
  <c r="AW59" i="1"/>
  <c r="AP59" i="1"/>
  <c r="BI59" i="1" s="1"/>
  <c r="AO59" i="1"/>
  <c r="BH59" i="1" s="1"/>
  <c r="AK59" i="1"/>
  <c r="AJ59" i="1"/>
  <c r="AH59" i="1"/>
  <c r="AG59" i="1"/>
  <c r="AF59" i="1"/>
  <c r="AE59" i="1"/>
  <c r="AD59" i="1"/>
  <c r="AC59" i="1"/>
  <c r="AB59" i="1"/>
  <c r="Z59" i="1"/>
  <c r="O59" i="1"/>
  <c r="BF59" i="1" s="1"/>
  <c r="L59" i="1"/>
  <c r="AL59" i="1" s="1"/>
  <c r="AU58" i="1" s="1"/>
  <c r="J59" i="1"/>
  <c r="AT58" i="1"/>
  <c r="AS58" i="1"/>
  <c r="J58" i="1"/>
  <c r="D17" i="3" s="1"/>
  <c r="BW57" i="1"/>
  <c r="BJ57" i="1"/>
  <c r="BD57" i="1"/>
  <c r="AP57" i="1"/>
  <c r="BI57" i="1" s="1"/>
  <c r="AC57" i="1" s="1"/>
  <c r="AO57" i="1"/>
  <c r="AW57" i="1" s="1"/>
  <c r="AL57" i="1"/>
  <c r="AK57" i="1"/>
  <c r="AJ57" i="1"/>
  <c r="AH57" i="1"/>
  <c r="AG57" i="1"/>
  <c r="AF57" i="1"/>
  <c r="AE57" i="1"/>
  <c r="AD57" i="1"/>
  <c r="Z57" i="1"/>
  <c r="O57" i="1"/>
  <c r="BF57" i="1" s="1"/>
  <c r="M57" i="1"/>
  <c r="L57" i="1"/>
  <c r="BW55" i="1"/>
  <c r="BJ55" i="1"/>
  <c r="BD55" i="1"/>
  <c r="AP55" i="1"/>
  <c r="AX55" i="1" s="1"/>
  <c r="AO55" i="1"/>
  <c r="AW55" i="1" s="1"/>
  <c r="AL55" i="1"/>
  <c r="AK55" i="1"/>
  <c r="AJ55" i="1"/>
  <c r="AH55" i="1"/>
  <c r="AE55" i="1"/>
  <c r="AD55" i="1"/>
  <c r="AC55" i="1"/>
  <c r="AB55" i="1"/>
  <c r="Z55" i="1"/>
  <c r="O55" i="1"/>
  <c r="BF55" i="1" s="1"/>
  <c r="L55" i="1"/>
  <c r="K55" i="1"/>
  <c r="J55" i="1"/>
  <c r="BW53" i="1"/>
  <c r="BJ53" i="1"/>
  <c r="BH53" i="1"/>
  <c r="AB53" i="1" s="1"/>
  <c r="BD53" i="1"/>
  <c r="AP53" i="1"/>
  <c r="K53" i="1" s="1"/>
  <c r="AO53" i="1"/>
  <c r="AW53" i="1" s="1"/>
  <c r="AL53" i="1"/>
  <c r="AK53" i="1"/>
  <c r="AJ53" i="1"/>
  <c r="AH53" i="1"/>
  <c r="AG53" i="1"/>
  <c r="AF53" i="1"/>
  <c r="AE53" i="1"/>
  <c r="AD53" i="1"/>
  <c r="Z53" i="1"/>
  <c r="O53" i="1"/>
  <c r="BF53" i="1" s="1"/>
  <c r="L53" i="1"/>
  <c r="M53" i="1" s="1"/>
  <c r="J53" i="1"/>
  <c r="AT52" i="1"/>
  <c r="BW51" i="1"/>
  <c r="BJ51" i="1"/>
  <c r="BD51" i="1"/>
  <c r="AP51" i="1"/>
  <c r="BI51" i="1" s="1"/>
  <c r="AE51" i="1" s="1"/>
  <c r="AO51" i="1"/>
  <c r="AW51" i="1" s="1"/>
  <c r="AK51" i="1"/>
  <c r="AJ51" i="1"/>
  <c r="AH51" i="1"/>
  <c r="AG51" i="1"/>
  <c r="AF51" i="1"/>
  <c r="AC51" i="1"/>
  <c r="AB51" i="1"/>
  <c r="Z51" i="1"/>
  <c r="O51" i="1"/>
  <c r="BF51" i="1" s="1"/>
  <c r="M51" i="1"/>
  <c r="L51" i="1"/>
  <c r="AL51" i="1" s="1"/>
  <c r="J51" i="1"/>
  <c r="BW50" i="1"/>
  <c r="BJ50" i="1"/>
  <c r="BD50" i="1"/>
  <c r="AP50" i="1"/>
  <c r="BI50" i="1" s="1"/>
  <c r="AE50" i="1" s="1"/>
  <c r="AO50" i="1"/>
  <c r="AW50" i="1" s="1"/>
  <c r="AK50" i="1"/>
  <c r="AJ50" i="1"/>
  <c r="AH50" i="1"/>
  <c r="AG50" i="1"/>
  <c r="AF50" i="1"/>
  <c r="AC50" i="1"/>
  <c r="AB50" i="1"/>
  <c r="Z50" i="1"/>
  <c r="O50" i="1"/>
  <c r="BF50" i="1" s="1"/>
  <c r="L50" i="1"/>
  <c r="AL50" i="1" s="1"/>
  <c r="K50" i="1"/>
  <c r="J50" i="1"/>
  <c r="BW48" i="1"/>
  <c r="BJ48" i="1"/>
  <c r="BD48" i="1"/>
  <c r="AP48" i="1"/>
  <c r="K48" i="1" s="1"/>
  <c r="AO48" i="1"/>
  <c r="AW48" i="1" s="1"/>
  <c r="AK48" i="1"/>
  <c r="AJ48" i="1"/>
  <c r="AH48" i="1"/>
  <c r="AG48" i="1"/>
  <c r="AF48" i="1"/>
  <c r="AC48" i="1"/>
  <c r="AB48" i="1"/>
  <c r="Z48" i="1"/>
  <c r="O48" i="1"/>
  <c r="BF48" i="1" s="1"/>
  <c r="L48" i="1"/>
  <c r="AL48" i="1" s="1"/>
  <c r="BW47" i="1"/>
  <c r="BJ47" i="1"/>
  <c r="BD47" i="1"/>
  <c r="AP47" i="1"/>
  <c r="BI47" i="1" s="1"/>
  <c r="AE47" i="1" s="1"/>
  <c r="AO47" i="1"/>
  <c r="AW47" i="1" s="1"/>
  <c r="AL47" i="1"/>
  <c r="AK47" i="1"/>
  <c r="AJ47" i="1"/>
  <c r="AH47" i="1"/>
  <c r="AG47" i="1"/>
  <c r="AF47" i="1"/>
  <c r="AC47" i="1"/>
  <c r="AB47" i="1"/>
  <c r="Z47" i="1"/>
  <c r="O47" i="1"/>
  <c r="BF47" i="1" s="1"/>
  <c r="M47" i="1"/>
  <c r="L47" i="1"/>
  <c r="J47" i="1"/>
  <c r="BW46" i="1"/>
  <c r="BJ46" i="1"/>
  <c r="BD46" i="1"/>
  <c r="AP46" i="1"/>
  <c r="BI46" i="1" s="1"/>
  <c r="AE46" i="1" s="1"/>
  <c r="AO46" i="1"/>
  <c r="AW46" i="1" s="1"/>
  <c r="AK46" i="1"/>
  <c r="AJ46" i="1"/>
  <c r="AH46" i="1"/>
  <c r="AG46" i="1"/>
  <c r="AF46" i="1"/>
  <c r="AC46" i="1"/>
  <c r="AB46" i="1"/>
  <c r="Z46" i="1"/>
  <c r="O46" i="1"/>
  <c r="BF46" i="1" s="1"/>
  <c r="L46" i="1"/>
  <c r="AL46" i="1" s="1"/>
  <c r="K46" i="1"/>
  <c r="BW45" i="1"/>
  <c r="BJ45" i="1"/>
  <c r="BD45" i="1"/>
  <c r="AP45" i="1"/>
  <c r="AX45" i="1" s="1"/>
  <c r="AO45" i="1"/>
  <c r="AW45" i="1" s="1"/>
  <c r="AK45" i="1"/>
  <c r="AJ45" i="1"/>
  <c r="AH45" i="1"/>
  <c r="AG45" i="1"/>
  <c r="AF45" i="1"/>
  <c r="AC45" i="1"/>
  <c r="AB45" i="1"/>
  <c r="Z45" i="1"/>
  <c r="O45" i="1"/>
  <c r="BF45" i="1" s="1"/>
  <c r="L45" i="1"/>
  <c r="AL45" i="1" s="1"/>
  <c r="K45" i="1"/>
  <c r="BW42" i="1"/>
  <c r="BJ42" i="1"/>
  <c r="BF42" i="1"/>
  <c r="BD42" i="1"/>
  <c r="AP42" i="1"/>
  <c r="BI42" i="1" s="1"/>
  <c r="AE42" i="1" s="1"/>
  <c r="AO42" i="1"/>
  <c r="BH42" i="1" s="1"/>
  <c r="AD42" i="1" s="1"/>
  <c r="AK42" i="1"/>
  <c r="AJ42" i="1"/>
  <c r="AH42" i="1"/>
  <c r="AG42" i="1"/>
  <c r="AF42" i="1"/>
  <c r="AC42" i="1"/>
  <c r="AB42" i="1"/>
  <c r="Z42" i="1"/>
  <c r="O42" i="1"/>
  <c r="L42" i="1"/>
  <c r="AL42" i="1" s="1"/>
  <c r="K42" i="1"/>
  <c r="BW40" i="1"/>
  <c r="BJ40" i="1"/>
  <c r="BF40" i="1"/>
  <c r="BD40" i="1"/>
  <c r="AP40" i="1"/>
  <c r="BI40" i="1" s="1"/>
  <c r="AE40" i="1" s="1"/>
  <c r="AO40" i="1"/>
  <c r="BH40" i="1" s="1"/>
  <c r="AD40" i="1" s="1"/>
  <c r="AK40" i="1"/>
  <c r="AJ40" i="1"/>
  <c r="AH40" i="1"/>
  <c r="AG40" i="1"/>
  <c r="AF40" i="1"/>
  <c r="AC40" i="1"/>
  <c r="AB40" i="1"/>
  <c r="Z40" i="1"/>
  <c r="O40" i="1"/>
  <c r="L40" i="1"/>
  <c r="AL40" i="1" s="1"/>
  <c r="K40" i="1"/>
  <c r="BW38" i="1"/>
  <c r="BJ38" i="1"/>
  <c r="BD38" i="1"/>
  <c r="AP38" i="1"/>
  <c r="AX38" i="1" s="1"/>
  <c r="AO38" i="1"/>
  <c r="BH38" i="1" s="1"/>
  <c r="AD38" i="1" s="1"/>
  <c r="AK38" i="1"/>
  <c r="AJ38" i="1"/>
  <c r="AH38" i="1"/>
  <c r="AG38" i="1"/>
  <c r="AF38" i="1"/>
  <c r="AC38" i="1"/>
  <c r="AB38" i="1"/>
  <c r="Z38" i="1"/>
  <c r="O38" i="1"/>
  <c r="BF38" i="1" s="1"/>
  <c r="L38" i="1"/>
  <c r="AL38" i="1" s="1"/>
  <c r="K38" i="1"/>
  <c r="BW36" i="1"/>
  <c r="BJ36" i="1"/>
  <c r="BD36" i="1"/>
  <c r="AP36" i="1"/>
  <c r="BI36" i="1" s="1"/>
  <c r="AE36" i="1" s="1"/>
  <c r="AO36" i="1"/>
  <c r="AW36" i="1" s="1"/>
  <c r="AL36" i="1"/>
  <c r="AK36" i="1"/>
  <c r="AJ36" i="1"/>
  <c r="AH36" i="1"/>
  <c r="AG36" i="1"/>
  <c r="AF36" i="1"/>
  <c r="AC36" i="1"/>
  <c r="AB36" i="1"/>
  <c r="Z36" i="1"/>
  <c r="O36" i="1"/>
  <c r="BF36" i="1" s="1"/>
  <c r="L36" i="1"/>
  <c r="M36" i="1" s="1"/>
  <c r="K36" i="1"/>
  <c r="J36" i="1"/>
  <c r="BW34" i="1"/>
  <c r="BJ34" i="1"/>
  <c r="BH34" i="1"/>
  <c r="AD34" i="1" s="1"/>
  <c r="BF34" i="1"/>
  <c r="BD34" i="1"/>
  <c r="AW34" i="1"/>
  <c r="AP34" i="1"/>
  <c r="BI34" i="1" s="1"/>
  <c r="AE34" i="1" s="1"/>
  <c r="AO34" i="1"/>
  <c r="AK34" i="1"/>
  <c r="AT32" i="1" s="1"/>
  <c r="AJ34" i="1"/>
  <c r="AS32" i="1" s="1"/>
  <c r="AH34" i="1"/>
  <c r="AG34" i="1"/>
  <c r="AF34" i="1"/>
  <c r="AC34" i="1"/>
  <c r="AB34" i="1"/>
  <c r="Z34" i="1"/>
  <c r="O34" i="1"/>
  <c r="L34" i="1"/>
  <c r="AL34" i="1" s="1"/>
  <c r="J34" i="1"/>
  <c r="BW33" i="1"/>
  <c r="BJ33" i="1"/>
  <c r="BD33" i="1"/>
  <c r="AP33" i="1"/>
  <c r="BI33" i="1" s="1"/>
  <c r="AE33" i="1" s="1"/>
  <c r="AO33" i="1"/>
  <c r="BH33" i="1" s="1"/>
  <c r="AD33" i="1" s="1"/>
  <c r="AK33" i="1"/>
  <c r="AJ33" i="1"/>
  <c r="AH33" i="1"/>
  <c r="AG33" i="1"/>
  <c r="AF33" i="1"/>
  <c r="AC33" i="1"/>
  <c r="AB33" i="1"/>
  <c r="Z33" i="1"/>
  <c r="O33" i="1"/>
  <c r="BF33" i="1" s="1"/>
  <c r="L33" i="1"/>
  <c r="AL33" i="1" s="1"/>
  <c r="K33" i="1"/>
  <c r="BW30" i="1"/>
  <c r="BJ30" i="1"/>
  <c r="BD30" i="1"/>
  <c r="AP30" i="1"/>
  <c r="AX30" i="1" s="1"/>
  <c r="AO30" i="1"/>
  <c r="BH30" i="1" s="1"/>
  <c r="AB30" i="1" s="1"/>
  <c r="AK30" i="1"/>
  <c r="AJ30" i="1"/>
  <c r="AH30" i="1"/>
  <c r="AG30" i="1"/>
  <c r="AF30" i="1"/>
  <c r="AE30" i="1"/>
  <c r="AD30" i="1"/>
  <c r="Z30" i="1"/>
  <c r="O30" i="1"/>
  <c r="BF30" i="1" s="1"/>
  <c r="L30" i="1"/>
  <c r="AL30" i="1" s="1"/>
  <c r="BW29" i="1"/>
  <c r="M29" i="1" s="1"/>
  <c r="BJ29" i="1"/>
  <c r="BD29" i="1"/>
  <c r="AX29" i="1"/>
  <c r="AP29" i="1"/>
  <c r="BI29" i="1" s="1"/>
  <c r="AC29" i="1" s="1"/>
  <c r="AO29" i="1"/>
  <c r="BH29" i="1" s="1"/>
  <c r="AB29" i="1" s="1"/>
  <c r="AL29" i="1"/>
  <c r="AK29" i="1"/>
  <c r="AT24" i="1" s="1"/>
  <c r="AJ29" i="1"/>
  <c r="AH29" i="1"/>
  <c r="AG29" i="1"/>
  <c r="AF29" i="1"/>
  <c r="AE29" i="1"/>
  <c r="AD29" i="1"/>
  <c r="Z29" i="1"/>
  <c r="O29" i="1"/>
  <c r="BF29" i="1" s="1"/>
  <c r="L29" i="1"/>
  <c r="K29" i="1"/>
  <c r="J29" i="1"/>
  <c r="BW28" i="1"/>
  <c r="BJ28" i="1"/>
  <c r="BD28" i="1"/>
  <c r="AP28" i="1"/>
  <c r="AX28" i="1" s="1"/>
  <c r="AO28" i="1"/>
  <c r="BH28" i="1" s="1"/>
  <c r="AB28" i="1" s="1"/>
  <c r="AK28" i="1"/>
  <c r="AJ28" i="1"/>
  <c r="AH28" i="1"/>
  <c r="AG28" i="1"/>
  <c r="AF28" i="1"/>
  <c r="AE28" i="1"/>
  <c r="AD28" i="1"/>
  <c r="Z28" i="1"/>
  <c r="O28" i="1"/>
  <c r="BF28" i="1" s="1"/>
  <c r="L28" i="1"/>
  <c r="AL28" i="1" s="1"/>
  <c r="BW26" i="1"/>
  <c r="BJ26" i="1"/>
  <c r="BD26" i="1"/>
  <c r="AP26" i="1"/>
  <c r="BI26" i="1" s="1"/>
  <c r="AC26" i="1" s="1"/>
  <c r="AO26" i="1"/>
  <c r="BH26" i="1" s="1"/>
  <c r="AB26" i="1" s="1"/>
  <c r="AK26" i="1"/>
  <c r="AJ26" i="1"/>
  <c r="AH26" i="1"/>
  <c r="AG26" i="1"/>
  <c r="AF26" i="1"/>
  <c r="AE26" i="1"/>
  <c r="AD26" i="1"/>
  <c r="Z26" i="1"/>
  <c r="O26" i="1"/>
  <c r="BF26" i="1" s="1"/>
  <c r="L26" i="1"/>
  <c r="AL26" i="1" s="1"/>
  <c r="K26" i="1"/>
  <c r="BW25" i="1"/>
  <c r="BJ25" i="1"/>
  <c r="BD25" i="1"/>
  <c r="AX25" i="1"/>
  <c r="AP25" i="1"/>
  <c r="BI25" i="1" s="1"/>
  <c r="AC25" i="1" s="1"/>
  <c r="AO25" i="1"/>
  <c r="BH25" i="1" s="1"/>
  <c r="AB25" i="1" s="1"/>
  <c r="AL25" i="1"/>
  <c r="AK25" i="1"/>
  <c r="AJ25" i="1"/>
  <c r="AH25" i="1"/>
  <c r="AG25" i="1"/>
  <c r="AF25" i="1"/>
  <c r="AE25" i="1"/>
  <c r="AD25" i="1"/>
  <c r="Z25" i="1"/>
  <c r="O25" i="1"/>
  <c r="BF25" i="1" s="1"/>
  <c r="L25" i="1"/>
  <c r="K25" i="1"/>
  <c r="J25" i="1"/>
  <c r="BW23" i="1"/>
  <c r="BJ23" i="1"/>
  <c r="BD23" i="1"/>
  <c r="AX23" i="1"/>
  <c r="AW23" i="1"/>
  <c r="AV23" i="1" s="1"/>
  <c r="AP23" i="1"/>
  <c r="BI23" i="1" s="1"/>
  <c r="AC23" i="1" s="1"/>
  <c r="AO23" i="1"/>
  <c r="BH23" i="1" s="1"/>
  <c r="AB23" i="1" s="1"/>
  <c r="AL23" i="1"/>
  <c r="AK23" i="1"/>
  <c r="AJ23" i="1"/>
  <c r="AH23" i="1"/>
  <c r="AG23" i="1"/>
  <c r="AF23" i="1"/>
  <c r="AE23" i="1"/>
  <c r="AD23" i="1"/>
  <c r="Z23" i="1"/>
  <c r="O23" i="1"/>
  <c r="BF23" i="1" s="1"/>
  <c r="L23" i="1"/>
  <c r="K23" i="1"/>
  <c r="J23" i="1"/>
  <c r="BW21" i="1"/>
  <c r="BJ21" i="1"/>
  <c r="BD21" i="1"/>
  <c r="AW21" i="1"/>
  <c r="AP21" i="1"/>
  <c r="BI21" i="1" s="1"/>
  <c r="AC21" i="1" s="1"/>
  <c r="AO21" i="1"/>
  <c r="BH21" i="1" s="1"/>
  <c r="AB21" i="1" s="1"/>
  <c r="AK21" i="1"/>
  <c r="AJ21" i="1"/>
  <c r="AH21" i="1"/>
  <c r="AG21" i="1"/>
  <c r="AF21" i="1"/>
  <c r="AE21" i="1"/>
  <c r="AD21" i="1"/>
  <c r="Z21" i="1"/>
  <c r="O21" i="1"/>
  <c r="BF21" i="1" s="1"/>
  <c r="M21" i="1"/>
  <c r="L21" i="1"/>
  <c r="AL21" i="1" s="1"/>
  <c r="J21" i="1"/>
  <c r="BW20" i="1"/>
  <c r="BJ20" i="1"/>
  <c r="BD20" i="1"/>
  <c r="AW20" i="1"/>
  <c r="AP20" i="1"/>
  <c r="BI20" i="1" s="1"/>
  <c r="AC20" i="1" s="1"/>
  <c r="AO20" i="1"/>
  <c r="BH20" i="1" s="1"/>
  <c r="AB20" i="1" s="1"/>
  <c r="AK20" i="1"/>
  <c r="AJ20" i="1"/>
  <c r="AH20" i="1"/>
  <c r="AG20" i="1"/>
  <c r="AF20" i="1"/>
  <c r="AE20" i="1"/>
  <c r="AD20" i="1"/>
  <c r="Z20" i="1"/>
  <c r="O20" i="1"/>
  <c r="BF20" i="1" s="1"/>
  <c r="L20" i="1"/>
  <c r="AL20" i="1" s="1"/>
  <c r="J20" i="1"/>
  <c r="BW19" i="1"/>
  <c r="BJ19" i="1"/>
  <c r="BF19" i="1"/>
  <c r="BD19" i="1"/>
  <c r="AP19" i="1"/>
  <c r="BI19" i="1" s="1"/>
  <c r="AC19" i="1" s="1"/>
  <c r="AO19" i="1"/>
  <c r="BH19" i="1" s="1"/>
  <c r="AB19" i="1" s="1"/>
  <c r="AK19" i="1"/>
  <c r="AJ19" i="1"/>
  <c r="AH19" i="1"/>
  <c r="AG19" i="1"/>
  <c r="AF19" i="1"/>
  <c r="AE19" i="1"/>
  <c r="AD19" i="1"/>
  <c r="Z19" i="1"/>
  <c r="O19" i="1"/>
  <c r="L19" i="1"/>
  <c r="M19" i="1" s="1"/>
  <c r="K19" i="1"/>
  <c r="BW18" i="1"/>
  <c r="BJ18" i="1"/>
  <c r="BF18" i="1"/>
  <c r="BD18" i="1"/>
  <c r="AP18" i="1"/>
  <c r="BI18" i="1" s="1"/>
  <c r="AC18" i="1" s="1"/>
  <c r="AO18" i="1"/>
  <c r="BH18" i="1" s="1"/>
  <c r="AB18" i="1" s="1"/>
  <c r="AK18" i="1"/>
  <c r="AJ18" i="1"/>
  <c r="AH18" i="1"/>
  <c r="AG18" i="1"/>
  <c r="AF18" i="1"/>
  <c r="AE18" i="1"/>
  <c r="AD18" i="1"/>
  <c r="Z18" i="1"/>
  <c r="O18" i="1"/>
  <c r="L18" i="1"/>
  <c r="M18" i="1" s="1"/>
  <c r="K18" i="1"/>
  <c r="J18" i="1"/>
  <c r="BW16" i="1"/>
  <c r="BJ16" i="1"/>
  <c r="BF16" i="1"/>
  <c r="BD16" i="1"/>
  <c r="AP16" i="1"/>
  <c r="BI16" i="1" s="1"/>
  <c r="AC16" i="1" s="1"/>
  <c r="AO16" i="1"/>
  <c r="BH16" i="1" s="1"/>
  <c r="AB16" i="1" s="1"/>
  <c r="AK16" i="1"/>
  <c r="AJ16" i="1"/>
  <c r="AH16" i="1"/>
  <c r="AG16" i="1"/>
  <c r="AF16" i="1"/>
  <c r="AE16" i="1"/>
  <c r="AD16" i="1"/>
  <c r="Z16" i="1"/>
  <c r="O16" i="1"/>
  <c r="L16" i="1"/>
  <c r="M16" i="1" s="1"/>
  <c r="K16" i="1"/>
  <c r="BW14" i="1"/>
  <c r="BJ14" i="1"/>
  <c r="BD14" i="1"/>
  <c r="AW14" i="1"/>
  <c r="AP14" i="1"/>
  <c r="BI14" i="1" s="1"/>
  <c r="AC14" i="1" s="1"/>
  <c r="AO14" i="1"/>
  <c r="BH14" i="1" s="1"/>
  <c r="AB14" i="1" s="1"/>
  <c r="AL14" i="1"/>
  <c r="AK14" i="1"/>
  <c r="AJ14" i="1"/>
  <c r="AH14" i="1"/>
  <c r="AG14" i="1"/>
  <c r="AF14" i="1"/>
  <c r="AE14" i="1"/>
  <c r="AD14" i="1"/>
  <c r="Z14" i="1"/>
  <c r="O14" i="1"/>
  <c r="BF14" i="1" s="1"/>
  <c r="L14" i="1"/>
  <c r="M14" i="1" s="1"/>
  <c r="J14" i="1"/>
  <c r="BW13" i="1"/>
  <c r="BJ13" i="1"/>
  <c r="BD13" i="1"/>
  <c r="AX13" i="1"/>
  <c r="AP13" i="1"/>
  <c r="BI13" i="1" s="1"/>
  <c r="AC13" i="1" s="1"/>
  <c r="AO13" i="1"/>
  <c r="BH13" i="1" s="1"/>
  <c r="AB13" i="1" s="1"/>
  <c r="AL13" i="1"/>
  <c r="AU12" i="1" s="1"/>
  <c r="AK13" i="1"/>
  <c r="AJ13" i="1"/>
  <c r="AH13" i="1"/>
  <c r="AG13" i="1"/>
  <c r="AF13" i="1"/>
  <c r="AE13" i="1"/>
  <c r="AD13" i="1"/>
  <c r="Z13" i="1"/>
  <c r="O13" i="1"/>
  <c r="O12" i="1" s="1"/>
  <c r="G11" i="3" s="1"/>
  <c r="L13" i="1"/>
  <c r="M13" i="1" s="1"/>
  <c r="K13" i="1"/>
  <c r="J13" i="1"/>
  <c r="L12" i="1"/>
  <c r="J12" i="1"/>
  <c r="D11" i="3" s="1"/>
  <c r="AU1" i="1"/>
  <c r="AT1" i="1"/>
  <c r="AS1" i="1"/>
  <c r="M12" i="1" l="1"/>
  <c r="AT12" i="1"/>
  <c r="L15" i="1"/>
  <c r="F12" i="3" s="1"/>
  <c r="I12" i="3" s="1"/>
  <c r="M20" i="1"/>
  <c r="AX47" i="1"/>
  <c r="BC47" i="1" s="1"/>
  <c r="BF13" i="1"/>
  <c r="O15" i="1"/>
  <c r="G12" i="3" s="1"/>
  <c r="AW16" i="1"/>
  <c r="AV16" i="1" s="1"/>
  <c r="AW18" i="1"/>
  <c r="AX19" i="1"/>
  <c r="O24" i="1"/>
  <c r="G13" i="3" s="1"/>
  <c r="M25" i="1"/>
  <c r="M24" i="1" s="1"/>
  <c r="M30" i="1"/>
  <c r="AX34" i="1"/>
  <c r="AW40" i="1"/>
  <c r="AX42" i="1"/>
  <c r="M42" i="1"/>
  <c r="K47" i="1"/>
  <c r="M55" i="1"/>
  <c r="M52" i="1" s="1"/>
  <c r="BC55" i="1"/>
  <c r="K57" i="1"/>
  <c r="L58" i="1"/>
  <c r="F17" i="3" s="1"/>
  <c r="I17" i="3" s="1"/>
  <c r="I27" i="2"/>
  <c r="I32" i="2"/>
  <c r="J40" i="2"/>
  <c r="J44" i="2"/>
  <c r="J54" i="2"/>
  <c r="J57" i="2"/>
  <c r="AS12" i="1"/>
  <c r="J16" i="1"/>
  <c r="AL16" i="1"/>
  <c r="AX16" i="1"/>
  <c r="J19" i="1"/>
  <c r="AL19" i="1"/>
  <c r="M23" i="1"/>
  <c r="AW25" i="1"/>
  <c r="J33" i="1"/>
  <c r="J32" i="1" s="1"/>
  <c r="D14" i="3" s="1"/>
  <c r="K34" i="1"/>
  <c r="K32" i="1" s="1"/>
  <c r="E14" i="3" s="1"/>
  <c r="AX36" i="1"/>
  <c r="J40" i="1"/>
  <c r="J42" i="1"/>
  <c r="J45" i="1"/>
  <c r="J44" i="1" s="1"/>
  <c r="D15" i="3" s="1"/>
  <c r="M50" i="1"/>
  <c r="L52" i="1"/>
  <c r="F16" i="3" s="1"/>
  <c r="I16" i="3" s="1"/>
  <c r="AS52" i="1"/>
  <c r="O58" i="1"/>
  <c r="G17" i="3" s="1"/>
  <c r="K59" i="1"/>
  <c r="K58" i="1" s="1"/>
  <c r="E17" i="3" s="1"/>
  <c r="J12" i="2"/>
  <c r="IS19" i="2"/>
  <c r="J19" i="2" s="1"/>
  <c r="J14" i="2" s="1"/>
  <c r="M21" i="2"/>
  <c r="M14" i="2" s="1"/>
  <c r="J23" i="2"/>
  <c r="J26" i="2"/>
  <c r="M40" i="2"/>
  <c r="M36" i="2" s="1"/>
  <c r="M44" i="2"/>
  <c r="J50" i="2"/>
  <c r="J51" i="2"/>
  <c r="M54" i="2"/>
  <c r="M57" i="2"/>
  <c r="M56" i="2" s="1"/>
  <c r="J61" i="2"/>
  <c r="IR62" i="2"/>
  <c r="J67" i="2"/>
  <c r="J66" i="2" s="1"/>
  <c r="M12" i="2"/>
  <c r="M11" i="2" s="1"/>
  <c r="M23" i="2"/>
  <c r="M26" i="2"/>
  <c r="M25" i="2" s="1"/>
  <c r="J37" i="2"/>
  <c r="IS42" i="2"/>
  <c r="J42" i="2" s="1"/>
  <c r="M46" i="2"/>
  <c r="J49" i="2"/>
  <c r="M51" i="2"/>
  <c r="M48" i="2" s="1"/>
  <c r="IS52" i="2"/>
  <c r="J52" i="2" s="1"/>
  <c r="IS55" i="2"/>
  <c r="J55" i="2" s="1"/>
  <c r="IS64" i="2"/>
  <c r="J64" i="2" s="1"/>
  <c r="I40" i="5"/>
  <c r="I24" i="4" s="1"/>
  <c r="J15" i="1"/>
  <c r="D12" i="3" s="1"/>
  <c r="K20" i="1"/>
  <c r="AX20" i="1"/>
  <c r="AV20" i="1" s="1"/>
  <c r="AS15" i="1"/>
  <c r="K32" i="2"/>
  <c r="IR33" i="2"/>
  <c r="AW29" i="1"/>
  <c r="AV29" i="1" s="1"/>
  <c r="M59" i="1"/>
  <c r="M58" i="1" s="1"/>
  <c r="IR67" i="2"/>
  <c r="I67" i="2" s="1"/>
  <c r="I66" i="2" s="1"/>
  <c r="IR65" i="2"/>
  <c r="AU52" i="1"/>
  <c r="BI55" i="1"/>
  <c r="AG55" i="1" s="1"/>
  <c r="C19" i="4" s="1"/>
  <c r="IR61" i="2"/>
  <c r="I61" i="2" s="1"/>
  <c r="K52" i="1"/>
  <c r="E16" i="3" s="1"/>
  <c r="J56" i="2"/>
  <c r="IR59" i="2"/>
  <c r="K51" i="1"/>
  <c r="K55" i="2"/>
  <c r="AT44" i="1"/>
  <c r="BH50" i="1"/>
  <c r="AD50" i="1" s="1"/>
  <c r="IR54" i="2"/>
  <c r="I54" i="2" s="1"/>
  <c r="BH48" i="1"/>
  <c r="AD48" i="1" s="1"/>
  <c r="M48" i="1"/>
  <c r="BI48" i="1"/>
  <c r="AE48" i="1" s="1"/>
  <c r="J48" i="1"/>
  <c r="AX48" i="1"/>
  <c r="BC48" i="1" s="1"/>
  <c r="AS44" i="1"/>
  <c r="AV47" i="1"/>
  <c r="M46" i="1"/>
  <c r="IR50" i="2"/>
  <c r="I50" i="2" s="1"/>
  <c r="AU44" i="1"/>
  <c r="L44" i="1"/>
  <c r="F15" i="3" s="1"/>
  <c r="I15" i="3" s="1"/>
  <c r="J46" i="1"/>
  <c r="J48" i="2"/>
  <c r="BH45" i="1"/>
  <c r="AD45" i="1" s="1"/>
  <c r="M45" i="1"/>
  <c r="BI45" i="1"/>
  <c r="AE45" i="1" s="1"/>
  <c r="K44" i="1"/>
  <c r="E15" i="3" s="1"/>
  <c r="IR49" i="2"/>
  <c r="I49" i="2" s="1"/>
  <c r="AW42" i="1"/>
  <c r="AV42" i="1" s="1"/>
  <c r="IS46" i="2"/>
  <c r="J46" i="2" s="1"/>
  <c r="M40" i="1"/>
  <c r="M38" i="1"/>
  <c r="J38" i="1"/>
  <c r="L32" i="1"/>
  <c r="F14" i="3" s="1"/>
  <c r="I14" i="3" s="1"/>
  <c r="BI38" i="1"/>
  <c r="AE38" i="1" s="1"/>
  <c r="BH36" i="1"/>
  <c r="AD36" i="1" s="1"/>
  <c r="IR40" i="2"/>
  <c r="I40" i="2" s="1"/>
  <c r="M34" i="1"/>
  <c r="IS38" i="2"/>
  <c r="J38" i="2" s="1"/>
  <c r="AV34" i="1"/>
  <c r="AU32" i="1"/>
  <c r="AW33" i="1"/>
  <c r="M33" i="1"/>
  <c r="IR34" i="2"/>
  <c r="I34" i="2" s="1"/>
  <c r="BI30" i="1"/>
  <c r="AC30" i="1" s="1"/>
  <c r="M28" i="1"/>
  <c r="IR30" i="2"/>
  <c r="I30" i="2" s="1"/>
  <c r="BI28" i="1"/>
  <c r="AC28" i="1" s="1"/>
  <c r="M26" i="1"/>
  <c r="AS24" i="1"/>
  <c r="L24" i="1"/>
  <c r="F13" i="3" s="1"/>
  <c r="I13" i="3" s="1"/>
  <c r="J26" i="1"/>
  <c r="AW26" i="1"/>
  <c r="K27" i="2"/>
  <c r="IR28" i="2"/>
  <c r="AX26" i="1"/>
  <c r="IR26" i="2"/>
  <c r="I26" i="2" s="1"/>
  <c r="AV25" i="1"/>
  <c r="AU24" i="1"/>
  <c r="IS24" i="2"/>
  <c r="IR23" i="2"/>
  <c r="I23" i="2" s="1"/>
  <c r="K21" i="1"/>
  <c r="AX21" i="1"/>
  <c r="AV21" i="1" s="1"/>
  <c r="IS21" i="2"/>
  <c r="J21" i="2" s="1"/>
  <c r="K19" i="2"/>
  <c r="C21" i="4"/>
  <c r="AW19" i="1"/>
  <c r="M15" i="1"/>
  <c r="AL18" i="1"/>
  <c r="AX18" i="1"/>
  <c r="AV18" i="1" s="1"/>
  <c r="IR18" i="2"/>
  <c r="I18" i="2" s="1"/>
  <c r="AT15" i="1"/>
  <c r="IS16" i="2"/>
  <c r="C28" i="4"/>
  <c r="F28" i="4" s="1"/>
  <c r="IR15" i="2"/>
  <c r="I15" i="2" s="1"/>
  <c r="K14" i="1"/>
  <c r="K12" i="1" s="1"/>
  <c r="E11" i="3" s="1"/>
  <c r="AX14" i="1"/>
  <c r="AV14" i="1" s="1"/>
  <c r="C27" i="4"/>
  <c r="IS13" i="2"/>
  <c r="J13" i="2" s="1"/>
  <c r="J11" i="2" s="1"/>
  <c r="AW13" i="1"/>
  <c r="AV13" i="1" s="1"/>
  <c r="I22" i="4"/>
  <c r="I27" i="5"/>
  <c r="F29" i="5" s="1"/>
  <c r="AV36" i="1"/>
  <c r="BC36" i="1"/>
  <c r="AV45" i="1"/>
  <c r="BC45" i="1"/>
  <c r="AV59" i="1"/>
  <c r="I13" i="2"/>
  <c r="I21" i="2"/>
  <c r="K21" i="2"/>
  <c r="I46" i="2"/>
  <c r="K46" i="2"/>
  <c r="C20" i="4"/>
  <c r="J28" i="1"/>
  <c r="J30" i="1"/>
  <c r="O44" i="1"/>
  <c r="G15" i="3" s="1"/>
  <c r="BH46" i="1"/>
  <c r="AD46" i="1" s="1"/>
  <c r="AX50" i="1"/>
  <c r="AV50" i="1" s="1"/>
  <c r="BH51" i="1"/>
  <c r="AD51" i="1" s="1"/>
  <c r="O52" i="1"/>
  <c r="G16" i="3" s="1"/>
  <c r="AX53" i="1"/>
  <c r="BC53" i="1" s="1"/>
  <c r="BI53" i="1"/>
  <c r="AC53" i="1" s="1"/>
  <c r="AV57" i="1"/>
  <c r="BC16" i="1"/>
  <c r="BC18" i="1"/>
  <c r="BC20" i="1"/>
  <c r="BC23" i="1"/>
  <c r="BC25" i="1"/>
  <c r="BC26" i="1"/>
  <c r="K28" i="1"/>
  <c r="AW28" i="1"/>
  <c r="BC29" i="1"/>
  <c r="K30" i="1"/>
  <c r="AW30" i="1"/>
  <c r="AX33" i="1"/>
  <c r="AV33" i="1" s="1"/>
  <c r="BC34" i="1"/>
  <c r="AW38" i="1"/>
  <c r="AX40" i="1"/>
  <c r="AX46" i="1"/>
  <c r="BC46" i="1" s="1"/>
  <c r="BH47" i="1"/>
  <c r="AD47" i="1" s="1"/>
  <c r="AX51" i="1"/>
  <c r="AV51" i="1" s="1"/>
  <c r="AV55" i="1"/>
  <c r="BH57" i="1"/>
  <c r="AB57" i="1" s="1"/>
  <c r="C14" i="4" s="1"/>
  <c r="J25" i="2"/>
  <c r="I38" i="2"/>
  <c r="K38" i="2"/>
  <c r="I52" i="2"/>
  <c r="F11" i="3"/>
  <c r="I11" i="3" s="1"/>
  <c r="O32" i="1"/>
  <c r="G14" i="3" s="1"/>
  <c r="BC33" i="1"/>
  <c r="BC51" i="1"/>
  <c r="AV53" i="1"/>
  <c r="BH55" i="1"/>
  <c r="AF55" i="1" s="1"/>
  <c r="C18" i="4" s="1"/>
  <c r="J57" i="1"/>
  <c r="J52" i="1" s="1"/>
  <c r="D16" i="3" s="1"/>
  <c r="AX57" i="1"/>
  <c r="BC57" i="1" s="1"/>
  <c r="J36" i="2"/>
  <c r="AX59" i="1"/>
  <c r="K15" i="2"/>
  <c r="K23" i="2"/>
  <c r="K26" i="2"/>
  <c r="K40" i="2"/>
  <c r="K49" i="2"/>
  <c r="K54" i="2"/>
  <c r="IR58" i="2"/>
  <c r="BC59" i="1"/>
  <c r="IR12" i="2"/>
  <c r="IR20" i="2"/>
  <c r="IR37" i="2"/>
  <c r="IR44" i="2"/>
  <c r="IR51" i="2"/>
  <c r="IR57" i="2"/>
  <c r="AU15" i="1" l="1"/>
  <c r="AV19" i="1"/>
  <c r="C29" i="4"/>
  <c r="F29" i="4" s="1"/>
  <c r="K52" i="2"/>
  <c r="BC42" i="1"/>
  <c r="BC13" i="1"/>
  <c r="M44" i="1"/>
  <c r="AV48" i="1"/>
  <c r="AV40" i="1"/>
  <c r="K24" i="1"/>
  <c r="E13" i="3" s="1"/>
  <c r="K13" i="2"/>
  <c r="K42" i="2"/>
  <c r="K50" i="2"/>
  <c r="C17" i="4"/>
  <c r="K64" i="2"/>
  <c r="K15" i="1"/>
  <c r="E12" i="3" s="1"/>
  <c r="K67" i="2"/>
  <c r="K66" i="2" s="1"/>
  <c r="K61" i="2"/>
  <c r="C16" i="4"/>
  <c r="BC40" i="1"/>
  <c r="L61" i="1"/>
  <c r="F18" i="3"/>
  <c r="M32" i="1"/>
  <c r="M61" i="1" s="1"/>
  <c r="K34" i="2"/>
  <c r="C15" i="4"/>
  <c r="I25" i="2"/>
  <c r="K30" i="2"/>
  <c r="AV26" i="1"/>
  <c r="BC21" i="1"/>
  <c r="BC19" i="1"/>
  <c r="K18" i="2"/>
  <c r="BC14" i="1"/>
  <c r="K12" i="2"/>
  <c r="K11" i="2" s="1"/>
  <c r="I12" i="2"/>
  <c r="I11" i="2" s="1"/>
  <c r="BC50" i="1"/>
  <c r="K44" i="2"/>
  <c r="I44" i="2"/>
  <c r="AV30" i="1"/>
  <c r="BC30" i="1"/>
  <c r="AV46" i="1"/>
  <c r="K57" i="2"/>
  <c r="K56" i="2" s="1"/>
  <c r="I57" i="2"/>
  <c r="I56" i="2" s="1"/>
  <c r="K20" i="2"/>
  <c r="I20" i="2"/>
  <c r="I14" i="2" s="1"/>
  <c r="K51" i="2"/>
  <c r="K48" i="2" s="1"/>
  <c r="I51" i="2"/>
  <c r="I48" i="2" s="1"/>
  <c r="AV28" i="1"/>
  <c r="BC28" i="1"/>
  <c r="K37" i="2"/>
  <c r="K36" i="2" s="1"/>
  <c r="I37" i="2"/>
  <c r="AV38" i="1"/>
  <c r="BC38" i="1"/>
  <c r="J24" i="1"/>
  <c r="D13" i="3" s="1"/>
  <c r="I28" i="4" l="1"/>
  <c r="I29" i="4" s="1"/>
  <c r="K14" i="2"/>
  <c r="I36" i="2"/>
  <c r="K25" i="2"/>
  <c r="C22" i="4"/>
  <c r="K70" i="2"/>
</calcChain>
</file>

<file path=xl/sharedStrings.xml><?xml version="1.0" encoding="utf-8"?>
<sst xmlns="http://schemas.openxmlformats.org/spreadsheetml/2006/main" count="1065" uniqueCount="280">
  <si>
    <t>Stavební rozpočet</t>
  </si>
  <si>
    <t>Název stavby:</t>
  </si>
  <si>
    <t>Oprava rampy a příchozí zpevněné plochy u objektu</t>
  </si>
  <si>
    <t>Doba výstavby:</t>
  </si>
  <si>
    <t xml:space="preserve"> </t>
  </si>
  <si>
    <t>Objednatel:</t>
  </si>
  <si>
    <t> </t>
  </si>
  <si>
    <t>Druh stavby:</t>
  </si>
  <si>
    <t>SO 01 Rampa</t>
  </si>
  <si>
    <t>Začátek výstavby:</t>
  </si>
  <si>
    <t>20.03.2025</t>
  </si>
  <si>
    <t>Projektant:</t>
  </si>
  <si>
    <t>Lokalita:</t>
  </si>
  <si>
    <t>Kopřivnice</t>
  </si>
  <si>
    <t>Konec výstavby:</t>
  </si>
  <si>
    <t>Zhotovitel:</t>
  </si>
  <si>
    <t>JKSO:</t>
  </si>
  <si>
    <t>Zpracováno dne:</t>
  </si>
  <si>
    <t>Zpracoval:</t>
  </si>
  <si>
    <t>Radek Himlar</t>
  </si>
  <si>
    <t>Č</t>
  </si>
  <si>
    <t>Objekt</t>
  </si>
  <si>
    <t>Kód</t>
  </si>
  <si>
    <t>Zkrácený popis</t>
  </si>
  <si>
    <t>MJ</t>
  </si>
  <si>
    <t>Množství</t>
  </si>
  <si>
    <t>Cena/MJ</t>
  </si>
  <si>
    <t>Sazba DPH</t>
  </si>
  <si>
    <t>Náklady (Kč)</t>
  </si>
  <si>
    <t>Hmotnost (t)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</si>
  <si>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</si>
  <si>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</si>
  <si>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</si>
  <si>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</si>
  <si>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</si>
  <si>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</si>
  <si>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</si>
  <si>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</si>
  <si>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</si>
  <si>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Celkem vč. DPH</t>
  </si>
  <si>
    <t>Jednot.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</si>
  <si>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</si>
  <si>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</si>
  <si>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</si>
  <si>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</si>
  <si>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</si>
  <si>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</si>
  <si>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</si>
  <si>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</si>
  <si>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</si>
  <si>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</si>
  <si>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</si>
  <si>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</si>
  <si>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</si>
  <si>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</si>
  <si>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13</t>
  </si>
  <si>
    <t>Hloubené vykopávky</t>
  </si>
  <si>
    <t>1</t>
  </si>
  <si>
    <t>139601101R00</t>
  </si>
  <si>
    <t>Ruční výkop jam, rýh a šachet v hornině tř. 1 - 2</t>
  </si>
  <si>
    <t>m3</t>
  </si>
  <si>
    <t>RTS II / 2024</t>
  </si>
  <si>
    <t>13_</t>
  </si>
  <si>
    <t>1_</t>
  </si>
  <si>
    <t>_</t>
  </si>
  <si>
    <t>2</t>
  </si>
  <si>
    <t>174100010RA0</t>
  </si>
  <si>
    <t>Zásyp jam, rýh a šachet sypaninou</t>
  </si>
  <si>
    <t>62</t>
  </si>
  <si>
    <t>Úprava povrchů vnější</t>
  </si>
  <si>
    <t>3</t>
  </si>
  <si>
    <t>711404101R00</t>
  </si>
  <si>
    <t>D+M Výztužná stěrka s armovací tkaninou</t>
  </si>
  <si>
    <t>m2</t>
  </si>
  <si>
    <t>62_</t>
  </si>
  <si>
    <t>6_</t>
  </si>
  <si>
    <t>RTS komentář:</t>
  </si>
  <si>
    <t>4</t>
  </si>
  <si>
    <t>622300152R00</t>
  </si>
  <si>
    <t>Montáž dilatační lišty</t>
  </si>
  <si>
    <t>m</t>
  </si>
  <si>
    <t>5</t>
  </si>
  <si>
    <t>622311111R00</t>
  </si>
  <si>
    <t>Dilatační průběžný profil, zateplovací systém Baumit</t>
  </si>
  <si>
    <t>6</t>
  </si>
  <si>
    <t>622300153R00</t>
  </si>
  <si>
    <t>Montáž okapního soklového profilu</t>
  </si>
  <si>
    <t>7</t>
  </si>
  <si>
    <t>553926011</t>
  </si>
  <si>
    <t>Okapnice profil Al</t>
  </si>
  <si>
    <t>8</t>
  </si>
  <si>
    <t>620452101R00</t>
  </si>
  <si>
    <t>D+M Vnější omítka s přísadou na zvýšení vodotěsn.rovná-štuková</t>
  </si>
  <si>
    <t>63</t>
  </si>
  <si>
    <t>Podlahy a podlahové konstrukce</t>
  </si>
  <si>
    <t>9</t>
  </si>
  <si>
    <t>631663111R00</t>
  </si>
  <si>
    <t>D+M Oprava trhlin  - injektáž, zatmelení - lokální trhliny podkladu</t>
  </si>
  <si>
    <t>63_</t>
  </si>
  <si>
    <t>10</t>
  </si>
  <si>
    <t>783108812R00</t>
  </si>
  <si>
    <t>Tryskání minerál. materiálem, stupeň očištění Sa 2</t>
  </si>
  <si>
    <t>11</t>
  </si>
  <si>
    <t>938902122R00</t>
  </si>
  <si>
    <t>Čištění ploch betonových konstrukcí tlakovou vodou</t>
  </si>
  <si>
    <t>12</t>
  </si>
  <si>
    <t>777101101R00</t>
  </si>
  <si>
    <t>Příprava podkladu - vysávání podlah prům.vysavačem</t>
  </si>
  <si>
    <t>965048515R00</t>
  </si>
  <si>
    <t>Broušení betonových povrchů do tl. 5 mm</t>
  </si>
  <si>
    <t>777</t>
  </si>
  <si>
    <t>Podlahy ze syntetických hmot</t>
  </si>
  <si>
    <t>14</t>
  </si>
  <si>
    <t>777611901R00</t>
  </si>
  <si>
    <t>Provedení vrstvy 1 - penetrace</t>
  </si>
  <si>
    <t>777_</t>
  </si>
  <si>
    <t>77_</t>
  </si>
  <si>
    <t>15</t>
  </si>
  <si>
    <t>24623251</t>
  </si>
  <si>
    <t>Penetrační stěrka polymermaltovou směsí epoxycementové stěrky StoPox 590 EP - 1mm</t>
  </si>
  <si>
    <t>kg</t>
  </si>
  <si>
    <t>vlastní</t>
  </si>
  <si>
    <t>Penetrační stěrka polymermaltovou směsí epoxycementové stěrky StoPox 590 EP s křemenným plnivem frakce 0,1-0,3mm s posypem křemenným pískem zrnitosti 0,3 - 0,8 mm zrno vedle zrna</t>
  </si>
  <si>
    <t>16</t>
  </si>
  <si>
    <t>777571010R00</t>
  </si>
  <si>
    <t>Podlaha stěrková jednovrstvá - vrstva 2 - tl. 2 mm</t>
  </si>
  <si>
    <t>17</t>
  </si>
  <si>
    <t>Vodotěsná houževnatě elastická epoxycementová membrána StoPox 590 EP - 2mm</t>
  </si>
  <si>
    <t>Vodotěsná houževnatě elastická epoxycementová membrána StoPox 590 EP s posypem křemenným pískem zrnitosti 0,3 - 0,8 mm v přebytku (nebo hrubší frakce dle protiskluzných požadavků)</t>
  </si>
  <si>
    <t>18</t>
  </si>
  <si>
    <t>777612111R00</t>
  </si>
  <si>
    <t>Provedení epoxidového nátěru - vrstva 3 - finální povrch</t>
  </si>
  <si>
    <t>19</t>
  </si>
  <si>
    <t>24623757</t>
  </si>
  <si>
    <t>Hmota nátěrová polyuretanová 2-složková krycí  StoPur DV 508</t>
  </si>
  <si>
    <t>StoPur DV 508, PUR nátěrová hmota pro ochranné povrchy v patrových garážích s osvědčením, nízký obsah ředidla, balení 20 kg  Použití  - interiér a otevřené plochy - jako krycí nátěr pro zapískované nátěry podlah proti opotřebení v patrových garážích s osvědčením StoCretec OS 11 a.5. - pro patrové garáže v oblasti s přímým slunečním zářením  Vlastnosti  - elastická - odolná povětrnosti a UV záření - otěruvzdorná - nízký obsah ředidla  Poměr míchání - složka A : složka B = 100,0 : 50,0 váhových dílů  Spotřeba  - jako nátěr 0,6 - 1,0 kg/m2  Hustota: 1,33 - 1,38 g/cm</t>
  </si>
  <si>
    <t>783</t>
  </si>
  <si>
    <t>Nátěry</t>
  </si>
  <si>
    <t>20</t>
  </si>
  <si>
    <t>783900020RA0</t>
  </si>
  <si>
    <t>Odstranění nátěrů z kovových doplňkových kostrukcí</t>
  </si>
  <si>
    <t>783_</t>
  </si>
  <si>
    <t>78_</t>
  </si>
  <si>
    <t>21</t>
  </si>
  <si>
    <t>783900090RAC</t>
  </si>
  <si>
    <t>Ostatní práce pro nátěry - odrezivění kovových konstrukcí</t>
  </si>
  <si>
    <t>22</t>
  </si>
  <si>
    <t>783900090RAB</t>
  </si>
  <si>
    <t>Ostatní práce pro nátěry - odmaštění konstrukcí a výrobků</t>
  </si>
  <si>
    <t>23</t>
  </si>
  <si>
    <t>216904391R00</t>
  </si>
  <si>
    <t>Příplatek za ruční dočištění ocelovými kartáči</t>
  </si>
  <si>
    <t>V položce jsou zakalkulovány i náklady na dodání všech hmot.</t>
  </si>
  <si>
    <t>24</t>
  </si>
  <si>
    <t>783251001R00</t>
  </si>
  <si>
    <t>D+M Nátěr epoxidový kovových konstr. 1+ 1x email</t>
  </si>
  <si>
    <t>25</t>
  </si>
  <si>
    <t>783271001R00</t>
  </si>
  <si>
    <t>D+M Nátěr polyuretanový kovových konstr. 1+ 2x email</t>
  </si>
  <si>
    <t>M43</t>
  </si>
  <si>
    <t>Montáže ocelových konstrukcí</t>
  </si>
  <si>
    <t>26</t>
  </si>
  <si>
    <t>14313724</t>
  </si>
  <si>
    <t>Trubka podélně svařovaná hladká konstrukční S235JR 60,3 x 3,0 mm</t>
  </si>
  <si>
    <t>M43_</t>
  </si>
  <si>
    <t>9_</t>
  </si>
  <si>
    <t>Trubka ocelová konstrukční svařovaná dle ČSN EN 10219-2  S235JRH (1.0039) dle ČSN EN 10219-1 Obdobná: 11 375  hmotnost 4,22 kg/</t>
  </si>
  <si>
    <t>27</t>
  </si>
  <si>
    <t>430861001R00</t>
  </si>
  <si>
    <t>Křivka cenová první, hmotnost do 300 kg</t>
  </si>
  <si>
    <t>Touto položkou se oceňují montáže předem opracovaných výrobků z válcované oceli těchto průřezů : I a U ocel ........................ až do průřezu 12 včetně úhelníky a ostatní ........... až do rozměru 60 x 60 x 6 plechy ............................. až do tloušťky 5 mm včetn</t>
  </si>
  <si>
    <t>28</t>
  </si>
  <si>
    <t>732390932R00</t>
  </si>
  <si>
    <t>Svar do délky 10 cm</t>
  </si>
  <si>
    <t>kus</t>
  </si>
  <si>
    <t>M</t>
  </si>
  <si>
    <t>Ostatní materiál</t>
  </si>
  <si>
    <t>29</t>
  </si>
  <si>
    <t>58561108</t>
  </si>
  <si>
    <t>Vsyp minerální pro průmyslové podlahy-pro extrémní zatížení</t>
  </si>
  <si>
    <t>0</t>
  </si>
  <si>
    <t>Z99999_</t>
  </si>
  <si>
    <t>Z_</t>
  </si>
  <si>
    <t>Celkem:</t>
  </si>
  <si>
    <t>Poznámka:</t>
  </si>
  <si>
    <t>Jednotková cena (Kč)</t>
  </si>
  <si>
    <t>Náklady dodávka (Kč)</t>
  </si>
  <si>
    <t>Náklady montáž (Kč)</t>
  </si>
  <si>
    <t>Náklady celkem (Kč)</t>
  </si>
  <si>
    <t>Celková/MJ</t>
  </si>
  <si>
    <t>Celková hmotnost(t)</t>
  </si>
  <si>
    <t>2   rýha podél zdi - pro zatažení úpravy pod terén</t>
  </si>
  <si>
    <t>P</t>
  </si>
  <si>
    <t>21   stěny</t>
  </si>
  <si>
    <t>4   rezerva - zatažení pod terén</t>
  </si>
  <si>
    <t>4   rezerva - zatažení pod zem</t>
  </si>
  <si>
    <t>20   odhad</t>
  </si>
  <si>
    <t>56   plocha rampy - plocha + stěny</t>
  </si>
  <si>
    <t>56</t>
  </si>
  <si>
    <t>35   plocha rampy</t>
  </si>
  <si>
    <t>60   1,6kg/mm/m2 = 35 x1 mmx1,6 = 56 = 2 balení</t>
  </si>
  <si>
    <t>35</t>
  </si>
  <si>
    <t>120   1,6kg/mm/m2 = 35 x2 mmx1,6 = 112 = 6 balení</t>
  </si>
  <si>
    <t>40   1 kg/m2 = 35x1 = 36 kg, balení 20 kg</t>
  </si>
  <si>
    <t>20   zábradlí</t>
  </si>
  <si>
    <t>20   dočištění zábradlí</t>
  </si>
  <si>
    <t>26   13 x 2 - rampa</t>
  </si>
  <si>
    <t>3   3 - podesta</t>
  </si>
  <si>
    <t>;ztratné 20%; 5,8</t>
  </si>
  <si>
    <t>165</t>
  </si>
  <si>
    <t>100   rezerva</t>
  </si>
  <si>
    <t>56   2 svary na spoj  -14 spojů na straně - 2 strany</t>
  </si>
  <si>
    <t>4   4 - krátká příčka na podestě</t>
  </si>
  <si>
    <t>160   35 m2x4,5 kg = 157,5</t>
  </si>
  <si>
    <t>Z99999</t>
  </si>
  <si>
    <t>Stavební rozpočet - rekapitulace</t>
  </si>
  <si>
    <t>Náklady (Kč) - dodávka</t>
  </si>
  <si>
    <t>Náklady (Kč) - Montáž</t>
  </si>
  <si>
    <t>Náklady (Kč) - celkem</t>
  </si>
  <si>
    <t>Celková hmotnost (t)</t>
  </si>
  <si>
    <t>T</t>
  </si>
  <si>
    <t>Krycí list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</si>
  <si>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</si>
  <si>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</si>
  <si>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</si>
  <si>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</si>
  <si>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</si>
  <si>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</si>
  <si>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</si>
  <si>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</si>
  <si>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</si>
  <si>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</si>
  <si>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</si>
  <si>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</si>
  <si>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</si>
  <si>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</si>
  <si>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</si>
  <si>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</si>
  <si>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</si>
  <si>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</si>
  <si>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</si>
  <si>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</si>
  <si>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</si>
  <si>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</si>
  <si>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</si>
  <si>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</si>
  <si>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</si>
  <si>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</si>
  <si>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</si>
  <si>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</si>
  <si>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</si>
  <si>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</si>
  <si>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</si>
  <si>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</si>
  <si>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Celkem bez DPH</t>
  </si>
  <si>
    <t>Celkem včetně DPH</t>
  </si>
  <si>
    <t>Projektant</t>
  </si>
  <si>
    <t>Objednatel</t>
  </si>
  <si>
    <t>Zhotovitel</t>
  </si>
  <si>
    <t>Datum, razítko a podpis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</si>
  <si>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</si>
  <si>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</si>
  <si>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</si>
  <si>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</si>
  <si>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</si>
  <si>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</si>
  <si>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</si>
  <si>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</si>
  <si>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</si>
  <si>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</si>
  <si>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</si>
  <si>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Kompletace dokladové části</t>
  </si>
  <si>
    <t>Vytýčení inženýrských sítí</t>
  </si>
  <si>
    <t>odtrhové zkoušky</t>
  </si>
  <si>
    <t>zkouška vlhkosti CM metoda</t>
  </si>
  <si>
    <t>nedestruktivní zkouška pevnosti</t>
  </si>
  <si>
    <t>Celkem ORN</t>
  </si>
  <si>
    <t xml:space="preserve">Trubka ocelová konstrukční svařovaná dle ČSN EN 10219-2  S235JRH </t>
  </si>
  <si>
    <t>Základ 12%</t>
  </si>
  <si>
    <t>DPH 12%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</si>
</sst>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10"/>
      <color rgb="FF000000"/>
      <name val="Arial"/>
      <charset val="238"/>
    </font>
    <font>
      <sz val="10"/>
      <color rgb="FF00B0F0"/>
      <name val="Arial"/>
      <charset val="238"/>
    </font>
    <font>
      <sz val="10"/>
      <color rgb="FF0070C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b/>
      <sz val="14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</font>
    <font>
      <sz val="10"/>
      <color rgb="FF00B0F0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000000"/>
        <bgColor rgb="FF000000"/>
      </patternFill>
    </fill>
    <fill>
      <patternFill patternType="solid">
        <fgColor rgb="FF00B0F0"/>
        <bgColor indexed="64"/>
      </patternFill>
    </fill>
  </fills>
  <borders count="8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32">
    <xf numFmtId="0" fontId="0" fillId="0" borderId="0" xfId="0"/>
    <xf numFmtId="4" fontId="2" fillId="2" borderId="0" xfId="0" applyNumberFormat="1" applyFont="1" applyFill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/>
    </xf>
    <xf numFmtId="4" fontId="2" fillId="2" borderId="37" xfId="0" applyNumberFormat="1" applyFont="1" applyFill="1" applyBorder="1" applyAlignment="1">
      <alignment horizontal="right" vertical="center"/>
    </xf>
    <xf numFmtId="0" fontId="2" fillId="2" borderId="37" xfId="0" applyFont="1" applyFill="1" applyBorder="1" applyAlignment="1">
      <alignment horizontal="right" vertical="center"/>
    </xf>
    <xf numFmtId="0" fontId="2" fillId="2" borderId="38" xfId="0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5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right" vertical="center"/>
    </xf>
    <xf numFmtId="0" fontId="0" fillId="0" borderId="5" xfId="0" applyBorder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0" fillId="0" borderId="39" xfId="0" applyBorder="1"/>
    <xf numFmtId="0" fontId="0" fillId="0" borderId="40" xfId="0" applyBorder="1"/>
    <xf numFmtId="0" fontId="4" fillId="0" borderId="40" xfId="0" applyFont="1" applyBorder="1" applyAlignment="1">
      <alignment horizontal="right" vertical="center"/>
    </xf>
    <xf numFmtId="0" fontId="2" fillId="0" borderId="42" xfId="0" applyFont="1" applyBorder="1" applyAlignment="1">
      <alignment horizontal="left" vertical="center"/>
    </xf>
    <xf numFmtId="4" fontId="2" fillId="0" borderId="42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2" borderId="36" xfId="0" applyFont="1" applyFill="1" applyBorder="1" applyAlignment="1">
      <alignment horizontal="left" vertical="center"/>
    </xf>
    <xf numFmtId="4" fontId="2" fillId="2" borderId="38" xfId="0" applyNumberFormat="1" applyFont="1" applyFill="1" applyBorder="1" applyAlignment="1">
      <alignment horizontal="right" vertical="center"/>
    </xf>
    <xf numFmtId="1" fontId="3" fillId="0" borderId="5" xfId="0" applyNumberFormat="1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" fontId="2" fillId="2" borderId="6" xfId="0" applyNumberFormat="1" applyFont="1" applyFill="1" applyBorder="1" applyAlignment="1">
      <alignment horizontal="right" vertical="center"/>
    </xf>
    <xf numFmtId="0" fontId="0" fillId="0" borderId="6" xfId="0" applyBorder="1"/>
    <xf numFmtId="4" fontId="2" fillId="0" borderId="0" xfId="0" applyNumberFormat="1" applyFont="1" applyAlignment="1">
      <alignment horizontal="right" vertical="center"/>
    </xf>
    <xf numFmtId="0" fontId="2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4" fontId="3" fillId="0" borderId="37" xfId="0" applyNumberFormat="1" applyFont="1" applyBorder="1" applyAlignment="1">
      <alignment horizontal="right" vertical="center"/>
    </xf>
    <xf numFmtId="4" fontId="3" fillId="0" borderId="38" xfId="0" applyNumberFormat="1" applyFont="1" applyBorder="1" applyAlignment="1">
      <alignment horizontal="right" vertical="center"/>
    </xf>
    <xf numFmtId="0" fontId="3" fillId="0" borderId="48" xfId="0" applyFont="1" applyBorder="1" applyAlignment="1">
      <alignment horizontal="right" vertical="center"/>
    </xf>
    <xf numFmtId="4" fontId="3" fillId="0" borderId="40" xfId="0" applyNumberFormat="1" applyFont="1" applyBorder="1" applyAlignment="1">
      <alignment horizontal="right" vertical="center"/>
    </xf>
    <xf numFmtId="4" fontId="3" fillId="0" borderId="41" xfId="0" applyNumberFormat="1" applyFont="1" applyBorder="1" applyAlignment="1">
      <alignment horizontal="right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11" fillId="0" borderId="54" xfId="0" applyFont="1" applyBorder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4" fontId="12" fillId="0" borderId="55" xfId="0" applyNumberFormat="1" applyFont="1" applyBorder="1" applyAlignment="1">
      <alignment horizontal="right" vertical="center"/>
    </xf>
    <xf numFmtId="0" fontId="11" fillId="0" borderId="58" xfId="0" applyFont="1" applyBorder="1" applyAlignment="1">
      <alignment horizontal="left" vertical="center"/>
    </xf>
    <xf numFmtId="0" fontId="12" fillId="0" borderId="55" xfId="0" applyFont="1" applyBorder="1" applyAlignment="1">
      <alignment horizontal="right" vertical="center"/>
    </xf>
    <xf numFmtId="4" fontId="12" fillId="0" borderId="62" xfId="0" applyNumberFormat="1" applyFont="1" applyBorder="1" applyAlignment="1">
      <alignment horizontal="right" vertical="center"/>
    </xf>
    <xf numFmtId="0" fontId="12" fillId="0" borderId="62" xfId="0" applyFont="1" applyBorder="1" applyAlignment="1">
      <alignment horizontal="right" vertical="center"/>
    </xf>
    <xf numFmtId="4" fontId="12" fillId="0" borderId="53" xfId="0" applyNumberFormat="1" applyFont="1" applyBorder="1" applyAlignment="1">
      <alignment horizontal="right" vertical="center"/>
    </xf>
    <xf numFmtId="4" fontId="12" fillId="0" borderId="30" xfId="0" applyNumberFormat="1" applyFont="1" applyBorder="1" applyAlignment="1">
      <alignment horizontal="right" vertical="center"/>
    </xf>
    <xf numFmtId="4" fontId="11" fillId="2" borderId="52" xfId="0" applyNumberFormat="1" applyFont="1" applyFill="1" applyBorder="1" applyAlignment="1">
      <alignment horizontal="right" vertical="center"/>
    </xf>
    <xf numFmtId="4" fontId="11" fillId="2" borderId="57" xfId="0" applyNumberFormat="1" applyFont="1" applyFill="1" applyBorder="1" applyAlignment="1">
      <alignment horizontal="right" vertical="center"/>
    </xf>
    <xf numFmtId="0" fontId="7" fillId="0" borderId="37" xfId="0" applyFont="1" applyBorder="1" applyAlignment="1">
      <alignment horizontal="left" vertical="center"/>
    </xf>
    <xf numFmtId="0" fontId="2" fillId="0" borderId="19" xfId="0" applyFont="1" applyBorder="1" applyAlignment="1">
      <alignment horizontal="right" vertical="center"/>
    </xf>
    <xf numFmtId="4" fontId="3" fillId="0" borderId="55" xfId="0" applyNumberFormat="1" applyFont="1" applyBorder="1" applyAlignment="1">
      <alignment horizontal="right" vertical="center"/>
    </xf>
    <xf numFmtId="0" fontId="3" fillId="0" borderId="55" xfId="0" applyFont="1" applyBorder="1" applyAlignment="1">
      <alignment horizontal="left" vertical="center"/>
    </xf>
    <xf numFmtId="4" fontId="3" fillId="0" borderId="81" xfId="0" applyNumberFormat="1" applyFont="1" applyBorder="1" applyAlignment="1">
      <alignment horizontal="right" vertical="center"/>
    </xf>
    <xf numFmtId="0" fontId="3" fillId="0" borderId="81" xfId="0" applyFont="1" applyBorder="1" applyAlignment="1">
      <alignment horizontal="left" vertical="center"/>
    </xf>
    <xf numFmtId="0" fontId="2" fillId="0" borderId="85" xfId="0" applyFont="1" applyBorder="1" applyAlignment="1">
      <alignment horizontal="left" vertical="center"/>
    </xf>
    <xf numFmtId="0" fontId="2" fillId="0" borderId="85" xfId="0" applyFont="1" applyBorder="1" applyAlignment="1">
      <alignment horizontal="right" vertical="center"/>
    </xf>
    <xf numFmtId="4" fontId="2" fillId="0" borderId="85" xfId="0" applyNumberFormat="1" applyFont="1" applyBorder="1" applyAlignment="1">
      <alignment horizontal="right" vertical="center"/>
    </xf>
    <xf numFmtId="0" fontId="15" fillId="0" borderId="14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4" fillId="2" borderId="3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6" fillId="0" borderId="0" xfId="0" applyFont="1"/>
    <xf numFmtId="4" fontId="14" fillId="4" borderId="0" xfId="0" applyNumberFormat="1" applyFont="1" applyFill="1" applyAlignment="1" applyProtection="1">
      <alignment horizontal="right" vertical="center"/>
      <protection locked="0"/>
    </xf>
    <xf numFmtId="4" fontId="3" fillId="4" borderId="55" xfId="0" applyNumberFormat="1" applyFont="1" applyFill="1" applyBorder="1" applyAlignment="1" applyProtection="1">
      <alignment horizontal="right" vertical="center"/>
      <protection locked="0"/>
    </xf>
    <xf numFmtId="4" fontId="3" fillId="4" borderId="81" xfId="0" applyNumberFormat="1" applyFont="1" applyFill="1" applyBorder="1" applyAlignment="1" applyProtection="1">
      <alignment horizontal="right" vertical="center"/>
      <protection locked="0"/>
    </xf>
    <xf numFmtId="0" fontId="17" fillId="0" borderId="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horizontal="right" vertical="center"/>
    </xf>
    <xf numFmtId="4" fontId="17" fillId="4" borderId="0" xfId="0" applyNumberFormat="1" applyFont="1" applyFill="1" applyAlignment="1" applyProtection="1">
      <alignment horizontal="right" vertical="center"/>
      <protection locked="0"/>
    </xf>
    <xf numFmtId="1" fontId="17" fillId="0" borderId="0" xfId="0" applyNumberFormat="1" applyFont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2" fillId="0" borderId="70" xfId="0" applyFont="1" applyBorder="1" applyAlignment="1">
      <alignment horizontal="left" vertical="center"/>
    </xf>
    <xf numFmtId="0" fontId="12" fillId="0" borderId="68" xfId="0" applyFont="1" applyBorder="1" applyAlignment="1">
      <alignment horizontal="left" vertical="center"/>
    </xf>
    <xf numFmtId="0" fontId="12" fillId="0" borderId="69" xfId="0" applyFont="1" applyBorder="1" applyAlignment="1">
      <alignment horizontal="left" vertical="center"/>
    </xf>
    <xf numFmtId="0" fontId="12" fillId="0" borderId="7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2" xfId="0" applyFont="1" applyBorder="1" applyAlignment="1">
      <alignment horizontal="left" vertical="center"/>
    </xf>
    <xf numFmtId="0" fontId="12" fillId="0" borderId="77" xfId="0" applyFont="1" applyBorder="1" applyAlignment="1">
      <alignment horizontal="left" vertical="center"/>
    </xf>
    <xf numFmtId="0" fontId="12" fillId="0" borderId="75" xfId="0" applyFont="1" applyBorder="1" applyAlignment="1">
      <alignment horizontal="left" vertical="center"/>
    </xf>
    <xf numFmtId="0" fontId="12" fillId="0" borderId="76" xfId="0" applyFont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12" fillId="0" borderId="71" xfId="0" applyFont="1" applyBorder="1" applyAlignment="1">
      <alignment horizontal="left" vertical="center"/>
    </xf>
    <xf numFmtId="0" fontId="12" fillId="0" borderId="74" xfId="0" applyFont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11" fillId="0" borderId="57" xfId="0" applyFont="1" applyBorder="1" applyAlignment="1">
      <alignment horizontal="left" vertical="center"/>
    </xf>
    <xf numFmtId="0" fontId="11" fillId="2" borderId="64" xfId="0" applyFont="1" applyFill="1" applyBorder="1" applyAlignment="1">
      <alignment horizontal="left" vertical="center"/>
    </xf>
    <xf numFmtId="0" fontId="11" fillId="2" borderId="65" xfId="0" applyFont="1" applyFill="1" applyBorder="1" applyAlignment="1">
      <alignment horizontal="left" vertical="center"/>
    </xf>
    <xf numFmtId="0" fontId="11" fillId="2" borderId="59" xfId="0" applyFont="1" applyFill="1" applyBorder="1" applyAlignment="1">
      <alignment horizontal="left" vertical="center"/>
    </xf>
    <xf numFmtId="0" fontId="11" fillId="2" borderId="66" xfId="0" applyFont="1" applyFill="1" applyBorder="1" applyAlignment="1">
      <alignment horizontal="left" vertical="center"/>
    </xf>
    <xf numFmtId="0" fontId="11" fillId="2" borderId="51" xfId="0" applyFont="1" applyFill="1" applyBorder="1" applyAlignment="1">
      <alignment horizontal="left" vertical="center"/>
    </xf>
    <xf numFmtId="0" fontId="11" fillId="2" borderId="56" xfId="0" applyFont="1" applyFill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0" fontId="12" fillId="0" borderId="57" xfId="0" applyFont="1" applyBorder="1" applyAlignment="1">
      <alignment horizontal="left" vertical="center"/>
    </xf>
    <xf numFmtId="0" fontId="12" fillId="0" borderId="63" xfId="0" applyFont="1" applyBorder="1" applyAlignment="1">
      <alignment horizontal="left" vertical="center"/>
    </xf>
    <xf numFmtId="0" fontId="12" fillId="0" borderId="61" xfId="0" applyFont="1" applyBorder="1" applyAlignment="1">
      <alignment horizontal="left" vertical="center"/>
    </xf>
    <xf numFmtId="0" fontId="11" fillId="0" borderId="51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6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/>
    </xf>
    <xf numFmtId="0" fontId="8" fillId="0" borderId="49" xfId="0" applyFont="1" applyBorder="1" applyAlignment="1">
      <alignment horizontal="center" vertical="center"/>
    </xf>
    <xf numFmtId="0" fontId="10" fillId="0" borderId="51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0" fontId="3" fillId="0" borderId="57" xfId="0" applyFont="1" applyBorder="1" applyAlignment="1">
      <alignment horizontal="left" vertical="center"/>
    </xf>
    <xf numFmtId="0" fontId="3" fillId="0" borderId="78" xfId="0" applyFont="1" applyBorder="1" applyAlignment="1">
      <alignment horizontal="left" vertical="center"/>
    </xf>
    <xf numFmtId="0" fontId="3" fillId="0" borderId="79" xfId="0" applyFont="1" applyBorder="1" applyAlignment="1">
      <alignment horizontal="left" vertical="center"/>
    </xf>
    <xf numFmtId="0" fontId="3" fillId="0" borderId="80" xfId="0" applyFont="1" applyBorder="1" applyAlignment="1">
      <alignment horizontal="left" vertical="center"/>
    </xf>
    <xf numFmtId="0" fontId="2" fillId="0" borderId="82" xfId="0" applyFont="1" applyBorder="1" applyAlignment="1">
      <alignment horizontal="left" vertical="center"/>
    </xf>
    <xf numFmtId="0" fontId="2" fillId="0" borderId="83" xfId="0" applyFont="1" applyBorder="1" applyAlignment="1">
      <alignment horizontal="left" vertical="center"/>
    </xf>
    <xf numFmtId="0" fontId="2" fillId="0" borderId="84" xfId="0" applyFont="1" applyBorder="1" applyAlignment="1">
      <alignment horizontal="left" vertical="center"/>
    </xf>
    <xf numFmtId="0" fontId="11" fillId="0" borderId="82" xfId="0" applyFont="1" applyBorder="1" applyAlignment="1">
      <alignment horizontal="left" vertical="center"/>
    </xf>
    <xf numFmtId="0" fontId="11" fillId="0" borderId="83" xfId="0" applyFont="1" applyBorder="1" applyAlignment="1">
      <alignment horizontal="left" vertical="center"/>
    </xf>
    <xf numFmtId="0" fontId="11" fillId="0" borderId="84" xfId="0" applyFont="1" applyBorder="1" applyAlignment="1">
      <alignment horizontal="left" vertical="center"/>
    </xf>
    <xf numFmtId="4" fontId="11" fillId="0" borderId="86" xfId="0" applyNumberFormat="1" applyFont="1" applyBorder="1" applyAlignment="1">
      <alignment horizontal="right" vertical="center"/>
    </xf>
    <xf numFmtId="0" fontId="11" fillId="0" borderId="83" xfId="0" applyFont="1" applyBorder="1" applyAlignment="1">
      <alignment horizontal="right" vertical="center"/>
    </xf>
    <xf numFmtId="0" fontId="11" fillId="0" borderId="84" xfId="0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40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40" xfId="0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opLeftCell="A7" workbookViewId="0">
      <selection activeCell="I43" sqref="I43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62" t="s">
        <v>221</v>
      </c>
      <c r="B1" s="163"/>
      <c r="C1" s="163"/>
      <c r="D1" s="163"/>
      <c r="E1" s="163"/>
      <c r="F1" s="163"/>
      <c r="G1" s="163"/>
      <c r="H1" s="163"/>
      <c r="I1" s="163"/>
    </row>
    <row r="2" spans="1:9" x14ac:dyDescent="0.25">
      <c r="A2" s="164" t="s">
        <v>1</v>
      </c>
      <c r="B2" s="165"/>
      <c r="C2" s="170" t="str">
        <f>'Stavební rozpočet'!D2</f>
        <v>Oprava rampy a příchozí zpevněné plochy u objektu</v>
      </c>
      <c r="D2" s="171"/>
      <c r="E2" s="161" t="s">
        <v>5</v>
      </c>
      <c r="F2" s="161" t="str">
        <f>'Stavební rozpočet'!J2</f>
        <v> </v>
      </c>
      <c r="G2" s="165"/>
      <c r="H2" s="161" t="s">
        <v>222</v>
      </c>
      <c r="I2" s="167" t="s">
        <v>54</v>
      </c>
    </row>
    <row r="3" spans="1:9" ht="15" customHeight="1" x14ac:dyDescent="0.25">
      <c r="A3" s="166"/>
      <c r="B3" s="122"/>
      <c r="C3" s="172"/>
      <c r="D3" s="172"/>
      <c r="E3" s="122"/>
      <c r="F3" s="122"/>
      <c r="G3" s="122"/>
      <c r="H3" s="122"/>
      <c r="I3" s="168"/>
    </row>
    <row r="4" spans="1:9" x14ac:dyDescent="0.25">
      <c r="A4" s="159" t="s">
        <v>7</v>
      </c>
      <c r="B4" s="122"/>
      <c r="C4" s="173" t="str">
        <f>'Stavební rozpočet'!D4</f>
        <v>SO 01 Rampa</v>
      </c>
      <c r="D4" s="174"/>
      <c r="E4" s="121" t="s">
        <v>11</v>
      </c>
      <c r="F4" s="121" t="str">
        <f>'Stavební rozpočet'!J4</f>
        <v> </v>
      </c>
      <c r="G4" s="122"/>
      <c r="H4" s="121" t="s">
        <v>222</v>
      </c>
      <c r="I4" s="168" t="s">
        <v>54</v>
      </c>
    </row>
    <row r="5" spans="1:9" ht="15" customHeight="1" x14ac:dyDescent="0.25">
      <c r="A5" s="166"/>
      <c r="B5" s="122"/>
      <c r="C5" s="174"/>
      <c r="D5" s="174"/>
      <c r="E5" s="122"/>
      <c r="F5" s="122"/>
      <c r="G5" s="122"/>
      <c r="H5" s="122"/>
      <c r="I5" s="168"/>
    </row>
    <row r="6" spans="1:9" x14ac:dyDescent="0.25">
      <c r="A6" s="159" t="s">
        <v>12</v>
      </c>
      <c r="B6" s="122"/>
      <c r="C6" s="121" t="str">
        <f>'Stavební rozpočet'!D6</f>
        <v>Kopřivnice</v>
      </c>
      <c r="D6" s="122"/>
      <c r="E6" s="121" t="s">
        <v>15</v>
      </c>
      <c r="F6" s="121" t="str">
        <f>'Stavební rozpočet'!J6</f>
        <v> </v>
      </c>
      <c r="G6" s="122"/>
      <c r="H6" s="121" t="s">
        <v>222</v>
      </c>
      <c r="I6" s="168" t="s">
        <v>54</v>
      </c>
    </row>
    <row r="7" spans="1:9" ht="15" customHeight="1" x14ac:dyDescent="0.25">
      <c r="A7" s="166"/>
      <c r="B7" s="122"/>
      <c r="C7" s="122"/>
      <c r="D7" s="122"/>
      <c r="E7" s="122"/>
      <c r="F7" s="122"/>
      <c r="G7" s="122"/>
      <c r="H7" s="122"/>
      <c r="I7" s="168"/>
    </row>
    <row r="8" spans="1:9" x14ac:dyDescent="0.25">
      <c r="A8" s="159" t="s">
        <v>9</v>
      </c>
      <c r="B8" s="122"/>
      <c r="C8" s="121" t="str">
        <f>'Stavební rozpočet'!H4</f>
        <v>20.03.2025</v>
      </c>
      <c r="D8" s="122"/>
      <c r="E8" s="121" t="s">
        <v>14</v>
      </c>
      <c r="F8" s="121" t="str">
        <f>'Stavební rozpočet'!H6</f>
        <v xml:space="preserve"> </v>
      </c>
      <c r="G8" s="122"/>
      <c r="H8" s="122" t="s">
        <v>223</v>
      </c>
      <c r="I8" s="169">
        <v>29</v>
      </c>
    </row>
    <row r="9" spans="1:9" x14ac:dyDescent="0.25">
      <c r="A9" s="166"/>
      <c r="B9" s="122"/>
      <c r="C9" s="122"/>
      <c r="D9" s="122"/>
      <c r="E9" s="122"/>
      <c r="F9" s="122"/>
      <c r="G9" s="122"/>
      <c r="H9" s="122"/>
      <c r="I9" s="168"/>
    </row>
    <row r="10" spans="1:9" x14ac:dyDescent="0.25">
      <c r="A10" s="159" t="s">
        <v>16</v>
      </c>
      <c r="B10" s="122"/>
      <c r="C10" s="121" t="str">
        <f>'Stavební rozpočet'!D8</f>
        <v xml:space="preserve"> </v>
      </c>
      <c r="D10" s="122"/>
      <c r="E10" s="121" t="s">
        <v>18</v>
      </c>
      <c r="F10" s="121" t="str">
        <f>'Stavební rozpočet'!J8</f>
        <v>Radek Himlar</v>
      </c>
      <c r="G10" s="122"/>
      <c r="H10" s="122" t="s">
        <v>224</v>
      </c>
      <c r="I10" s="153" t="str">
        <f>'Stavební rozpočet'!H8</f>
        <v>20.03.2025</v>
      </c>
    </row>
    <row r="11" spans="1:9" x14ac:dyDescent="0.25">
      <c r="A11" s="160"/>
      <c r="B11" s="158"/>
      <c r="C11" s="158"/>
      <c r="D11" s="158"/>
      <c r="E11" s="158"/>
      <c r="F11" s="158"/>
      <c r="G11" s="158"/>
      <c r="H11" s="158"/>
      <c r="I11" s="154"/>
    </row>
    <row r="12" spans="1:9" ht="23.25" x14ac:dyDescent="0.25">
      <c r="A12" s="155" t="s">
        <v>225</v>
      </c>
      <c r="B12" s="155"/>
      <c r="C12" s="155"/>
      <c r="D12" s="155"/>
      <c r="E12" s="155"/>
      <c r="F12" s="155"/>
      <c r="G12" s="155"/>
      <c r="H12" s="155"/>
      <c r="I12" s="155"/>
    </row>
    <row r="13" spans="1:9" ht="26.25" customHeight="1" x14ac:dyDescent="0.25">
      <c r="A13" s="85" t="s">
        <v>226</v>
      </c>
      <c r="B13" s="156" t="s">
        <v>227</v>
      </c>
      <c r="C13" s="157"/>
      <c r="D13" s="86" t="s">
        <v>228</v>
      </c>
      <c r="E13" s="156" t="s">
        <v>229</v>
      </c>
      <c r="F13" s="157"/>
      <c r="G13" s="86" t="s">
        <v>230</v>
      </c>
      <c r="H13" s="156" t="s">
        <v>231</v>
      </c>
      <c r="I13" s="157"/>
    </row>
    <row r="14" spans="1:9" ht="15.75" x14ac:dyDescent="0.25">
      <c r="A14" s="87" t="s">
        <v>232</v>
      </c>
      <c r="B14" s="88" t="s">
        <v>233</v>
      </c>
      <c r="C14" s="89">
        <f>SUM('Stavební rozpočet'!AB12:AB60)</f>
        <v>0</v>
      </c>
      <c r="D14" s="143" t="s">
        <v>234</v>
      </c>
      <c r="E14" s="144"/>
      <c r="F14" s="89">
        <f>VORN!I15</f>
        <v>0</v>
      </c>
      <c r="G14" s="143" t="s">
        <v>235</v>
      </c>
      <c r="H14" s="144"/>
      <c r="I14" s="89">
        <f>VORN!I21</f>
        <v>0</v>
      </c>
    </row>
    <row r="15" spans="1:9" ht="15.75" x14ac:dyDescent="0.25">
      <c r="A15" s="90" t="s">
        <v>54</v>
      </c>
      <c r="B15" s="88" t="s">
        <v>37</v>
      </c>
      <c r="C15" s="89">
        <f>SUM('Stavební rozpočet'!AC12:AC60)</f>
        <v>0</v>
      </c>
      <c r="D15" s="143" t="s">
        <v>236</v>
      </c>
      <c r="E15" s="144"/>
      <c r="F15" s="89">
        <f>VORN!I16</f>
        <v>0</v>
      </c>
      <c r="G15" s="143" t="s">
        <v>237</v>
      </c>
      <c r="H15" s="144"/>
      <c r="I15" s="89">
        <f>VORN!I22</f>
        <v>0</v>
      </c>
    </row>
    <row r="16" spans="1:9" ht="15.75" x14ac:dyDescent="0.25">
      <c r="A16" s="87" t="s">
        <v>238</v>
      </c>
      <c r="B16" s="88" t="s">
        <v>233</v>
      </c>
      <c r="C16" s="89">
        <f>SUM('Stavební rozpočet'!AD12:AD60)</f>
        <v>0</v>
      </c>
      <c r="D16" s="143" t="s">
        <v>239</v>
      </c>
      <c r="E16" s="144"/>
      <c r="F16" s="89">
        <f>VORN!I17</f>
        <v>0</v>
      </c>
      <c r="G16" s="143" t="s">
        <v>240</v>
      </c>
      <c r="H16" s="144"/>
      <c r="I16" s="89">
        <f>VORN!I23</f>
        <v>0</v>
      </c>
    </row>
    <row r="17" spans="1:9" ht="15.75" x14ac:dyDescent="0.25">
      <c r="A17" s="90" t="s">
        <v>54</v>
      </c>
      <c r="B17" s="88" t="s">
        <v>37</v>
      </c>
      <c r="C17" s="89">
        <f>SUM('Stavební rozpočet'!AE12:AE60)</f>
        <v>0</v>
      </c>
      <c r="D17" s="143" t="s">
        <v>54</v>
      </c>
      <c r="E17" s="144"/>
      <c r="F17" s="91" t="s">
        <v>54</v>
      </c>
      <c r="G17" s="143" t="s">
        <v>241</v>
      </c>
      <c r="H17" s="144"/>
      <c r="I17" s="89">
        <f>VORN!I24</f>
        <v>0</v>
      </c>
    </row>
    <row r="18" spans="1:9" ht="15.75" x14ac:dyDescent="0.25">
      <c r="A18" s="87" t="s">
        <v>242</v>
      </c>
      <c r="B18" s="88" t="s">
        <v>233</v>
      </c>
      <c r="C18" s="89">
        <f>SUM('Stavební rozpočet'!AF12:AF60)</f>
        <v>0</v>
      </c>
      <c r="D18" s="143" t="s">
        <v>54</v>
      </c>
      <c r="E18" s="144"/>
      <c r="F18" s="91" t="s">
        <v>54</v>
      </c>
      <c r="G18" s="143" t="s">
        <v>243</v>
      </c>
      <c r="H18" s="144"/>
      <c r="I18" s="89">
        <f>VORN!I25</f>
        <v>0</v>
      </c>
    </row>
    <row r="19" spans="1:9" ht="15.75" x14ac:dyDescent="0.25">
      <c r="A19" s="90" t="s">
        <v>54</v>
      </c>
      <c r="B19" s="88" t="s">
        <v>37</v>
      </c>
      <c r="C19" s="89">
        <f>SUM('Stavební rozpočet'!AG12:AG60)</f>
        <v>0</v>
      </c>
      <c r="D19" s="143" t="s">
        <v>54</v>
      </c>
      <c r="E19" s="144"/>
      <c r="F19" s="91" t="s">
        <v>54</v>
      </c>
      <c r="G19" s="143" t="s">
        <v>244</v>
      </c>
      <c r="H19" s="144"/>
      <c r="I19" s="89">
        <f>VORN!I26</f>
        <v>0</v>
      </c>
    </row>
    <row r="20" spans="1:9" ht="15.75" x14ac:dyDescent="0.25">
      <c r="A20" s="135" t="s">
        <v>176</v>
      </c>
      <c r="B20" s="136"/>
      <c r="C20" s="89">
        <f>SUM('Stavební rozpočet'!AH12:AH60)</f>
        <v>0</v>
      </c>
      <c r="D20" s="143" t="s">
        <v>54</v>
      </c>
      <c r="E20" s="144"/>
      <c r="F20" s="91" t="s">
        <v>54</v>
      </c>
      <c r="G20" s="143" t="s">
        <v>54</v>
      </c>
      <c r="H20" s="144"/>
      <c r="I20" s="91" t="s">
        <v>54</v>
      </c>
    </row>
    <row r="21" spans="1:9" ht="15.75" x14ac:dyDescent="0.25">
      <c r="A21" s="150" t="s">
        <v>245</v>
      </c>
      <c r="B21" s="151"/>
      <c r="C21" s="92">
        <f>SUM('Stavební rozpočet'!Z12:Z60)</f>
        <v>0</v>
      </c>
      <c r="D21" s="145" t="s">
        <v>54</v>
      </c>
      <c r="E21" s="146"/>
      <c r="F21" s="93" t="s">
        <v>54</v>
      </c>
      <c r="G21" s="145" t="s">
        <v>54</v>
      </c>
      <c r="H21" s="146"/>
      <c r="I21" s="93" t="s">
        <v>54</v>
      </c>
    </row>
    <row r="22" spans="1:9" ht="16.5" customHeight="1" x14ac:dyDescent="0.25">
      <c r="A22" s="152" t="s">
        <v>246</v>
      </c>
      <c r="B22" s="148"/>
      <c r="C22" s="94">
        <f>ROUND(SUM(C14:C21),2)</f>
        <v>0</v>
      </c>
      <c r="D22" s="147" t="s">
        <v>247</v>
      </c>
      <c r="E22" s="148"/>
      <c r="F22" s="94">
        <f>SUM(F14:F21)</f>
        <v>0</v>
      </c>
      <c r="G22" s="147" t="s">
        <v>248</v>
      </c>
      <c r="H22" s="148"/>
      <c r="I22" s="94">
        <f>SUM(I14:I21)</f>
        <v>0</v>
      </c>
    </row>
    <row r="23" spans="1:9" ht="15.75" x14ac:dyDescent="0.25">
      <c r="D23" s="135" t="s">
        <v>249</v>
      </c>
      <c r="E23" s="136"/>
      <c r="F23" s="95">
        <v>0</v>
      </c>
      <c r="G23" s="149" t="s">
        <v>250</v>
      </c>
      <c r="H23" s="136"/>
      <c r="I23" s="89">
        <v>0</v>
      </c>
    </row>
    <row r="24" spans="1:9" ht="15.75" x14ac:dyDescent="0.25">
      <c r="G24" s="135" t="s">
        <v>251</v>
      </c>
      <c r="H24" s="136"/>
      <c r="I24" s="89">
        <f>vorn_sum</f>
        <v>0</v>
      </c>
    </row>
    <row r="25" spans="1:9" ht="15.75" x14ac:dyDescent="0.25">
      <c r="G25" s="135" t="s">
        <v>252</v>
      </c>
      <c r="H25" s="136"/>
      <c r="I25" s="89">
        <v>0</v>
      </c>
    </row>
    <row r="27" spans="1:9" ht="15.75" x14ac:dyDescent="0.25">
      <c r="A27" s="137" t="s">
        <v>253</v>
      </c>
      <c r="B27" s="138"/>
      <c r="C27" s="96">
        <f>ROUND(SUM('Stavební rozpočet'!AJ12:AJ60),2)</f>
        <v>0</v>
      </c>
    </row>
    <row r="28" spans="1:9" ht="15.75" x14ac:dyDescent="0.25">
      <c r="A28" s="139" t="s">
        <v>278</v>
      </c>
      <c r="B28" s="140"/>
      <c r="C28" s="97">
        <f>ROUND(SUM('Stavební rozpočet'!AK12:AK60),2)</f>
        <v>0</v>
      </c>
      <c r="D28" s="141" t="s">
        <v>279</v>
      </c>
      <c r="E28" s="138"/>
      <c r="F28" s="96">
        <f>ROUND(C28*(12/100),2)</f>
        <v>0</v>
      </c>
      <c r="G28" s="141" t="s">
        <v>254</v>
      </c>
      <c r="H28" s="138"/>
      <c r="I28" s="96">
        <f>ROUND(SUM(C27:C29),2)</f>
        <v>0</v>
      </c>
    </row>
    <row r="29" spans="1:9" ht="15.75" x14ac:dyDescent="0.25">
      <c r="A29" s="139" t="s">
        <v>278</v>
      </c>
      <c r="B29" s="140"/>
      <c r="C29" s="97">
        <f>ROUND(SUM('Stavební rozpočet'!AL12:AL60)+(F22+I22+F23+I23+I24+I25),2)</f>
        <v>0</v>
      </c>
      <c r="D29" s="142" t="s">
        <v>279</v>
      </c>
      <c r="E29" s="140"/>
      <c r="F29" s="97">
        <f>ROUND(C29*(12/100),2)</f>
        <v>0</v>
      </c>
      <c r="G29" s="142" t="s">
        <v>255</v>
      </c>
      <c r="H29" s="140"/>
      <c r="I29" s="97">
        <f>ROUND(SUM(F28:F29)+I28,2)</f>
        <v>0</v>
      </c>
    </row>
    <row r="31" spans="1:9" x14ac:dyDescent="0.25">
      <c r="A31" s="132" t="s">
        <v>256</v>
      </c>
      <c r="B31" s="124"/>
      <c r="C31" s="125"/>
      <c r="D31" s="123" t="s">
        <v>257</v>
      </c>
      <c r="E31" s="124"/>
      <c r="F31" s="125"/>
      <c r="G31" s="123" t="s">
        <v>258</v>
      </c>
      <c r="H31" s="124"/>
      <c r="I31" s="125"/>
    </row>
    <row r="32" spans="1:9" x14ac:dyDescent="0.25">
      <c r="A32" s="133" t="s">
        <v>54</v>
      </c>
      <c r="B32" s="127"/>
      <c r="C32" s="128"/>
      <c r="D32" s="126" t="s">
        <v>54</v>
      </c>
      <c r="E32" s="127"/>
      <c r="F32" s="128"/>
      <c r="G32" s="126" t="s">
        <v>54</v>
      </c>
      <c r="H32" s="127"/>
      <c r="I32" s="128"/>
    </row>
    <row r="33" spans="1:9" x14ac:dyDescent="0.25">
      <c r="A33" s="133" t="s">
        <v>54</v>
      </c>
      <c r="B33" s="127"/>
      <c r="C33" s="128"/>
      <c r="D33" s="126" t="s">
        <v>54</v>
      </c>
      <c r="E33" s="127"/>
      <c r="F33" s="128"/>
      <c r="G33" s="126" t="s">
        <v>54</v>
      </c>
      <c r="H33" s="127"/>
      <c r="I33" s="128"/>
    </row>
    <row r="34" spans="1:9" x14ac:dyDescent="0.25">
      <c r="A34" s="133" t="s">
        <v>54</v>
      </c>
      <c r="B34" s="127"/>
      <c r="C34" s="128"/>
      <c r="D34" s="126" t="s">
        <v>54</v>
      </c>
      <c r="E34" s="127"/>
      <c r="F34" s="128"/>
      <c r="G34" s="126" t="s">
        <v>54</v>
      </c>
      <c r="H34" s="127"/>
      <c r="I34" s="128"/>
    </row>
    <row r="35" spans="1:9" x14ac:dyDescent="0.25">
      <c r="A35" s="134" t="s">
        <v>259</v>
      </c>
      <c r="B35" s="130"/>
      <c r="C35" s="131"/>
      <c r="D35" s="129" t="s">
        <v>259</v>
      </c>
      <c r="E35" s="130"/>
      <c r="F35" s="131"/>
      <c r="G35" s="129" t="s">
        <v>259</v>
      </c>
      <c r="H35" s="130"/>
      <c r="I35" s="131"/>
    </row>
    <row r="36" spans="1:9" x14ac:dyDescent="0.25">
      <c r="A36" s="98" t="s">
        <v>184</v>
      </c>
    </row>
    <row r="37" spans="1:9" ht="12.75" customHeight="1" x14ac:dyDescent="0.25">
      <c r="A37" s="121" t="s">
        <v>54</v>
      </c>
      <c r="B37" s="122"/>
      <c r="C37" s="122"/>
      <c r="D37" s="122"/>
      <c r="E37" s="122"/>
      <c r="F37" s="122"/>
      <c r="G37" s="122"/>
      <c r="H37" s="122"/>
      <c r="I37" s="122"/>
    </row>
  </sheetData>
  <mergeCells count="83"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  <mergeCell ref="C2:D3"/>
    <mergeCell ref="C4:D5"/>
    <mergeCell ref="C6:D7"/>
    <mergeCell ref="C8:D9"/>
    <mergeCell ref="C10:D11"/>
    <mergeCell ref="E2:E3"/>
    <mergeCell ref="E4:E5"/>
    <mergeCell ref="E6:E7"/>
    <mergeCell ref="E8:E9"/>
    <mergeCell ref="E10:E11"/>
    <mergeCell ref="H2:H3"/>
    <mergeCell ref="H4:H5"/>
    <mergeCell ref="H6:H7"/>
    <mergeCell ref="H8:H9"/>
    <mergeCell ref="H10:H11"/>
    <mergeCell ref="I10:I11"/>
    <mergeCell ref="A12:I12"/>
    <mergeCell ref="B13:C13"/>
    <mergeCell ref="E13:F13"/>
    <mergeCell ref="H13:I13"/>
    <mergeCell ref="F10:G11"/>
    <mergeCell ref="A10:B11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</mergeCells>
  <pageMargins left="0.393999993801117" right="0.393999993801117" top="0.59100002050399802" bottom="0.59100002050399802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"/>
  <sheetViews>
    <sheetView topLeftCell="A10" workbookViewId="0">
      <selection activeCell="H37" sqref="H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62" t="s">
        <v>260</v>
      </c>
      <c r="B1" s="163"/>
      <c r="C1" s="163"/>
      <c r="D1" s="163"/>
      <c r="E1" s="163"/>
      <c r="F1" s="163"/>
      <c r="G1" s="163"/>
      <c r="H1" s="163"/>
      <c r="I1" s="163"/>
    </row>
    <row r="2" spans="1:9" x14ac:dyDescent="0.25">
      <c r="A2" s="164" t="s">
        <v>1</v>
      </c>
      <c r="B2" s="165"/>
      <c r="C2" s="170" t="str">
        <f>'Stavební rozpočet'!D2</f>
        <v>Oprava rampy a příchozí zpevněné plochy u objektu</v>
      </c>
      <c r="D2" s="171"/>
      <c r="E2" s="161" t="s">
        <v>5</v>
      </c>
      <c r="F2" s="161" t="str">
        <f>'Stavební rozpočet'!J2</f>
        <v> </v>
      </c>
      <c r="G2" s="165"/>
      <c r="H2" s="161" t="s">
        <v>222</v>
      </c>
      <c r="I2" s="167" t="s">
        <v>54</v>
      </c>
    </row>
    <row r="3" spans="1:9" ht="15" customHeight="1" x14ac:dyDescent="0.25">
      <c r="A3" s="166"/>
      <c r="B3" s="122"/>
      <c r="C3" s="172"/>
      <c r="D3" s="172"/>
      <c r="E3" s="122"/>
      <c r="F3" s="122"/>
      <c r="G3" s="122"/>
      <c r="H3" s="122"/>
      <c r="I3" s="168"/>
    </row>
    <row r="4" spans="1:9" x14ac:dyDescent="0.25">
      <c r="A4" s="159" t="s">
        <v>7</v>
      </c>
      <c r="B4" s="122"/>
      <c r="C4" s="121" t="str">
        <f>'Stavební rozpočet'!D4</f>
        <v>SO 01 Rampa</v>
      </c>
      <c r="D4" s="122"/>
      <c r="E4" s="121" t="s">
        <v>11</v>
      </c>
      <c r="F4" s="121" t="str">
        <f>'Stavební rozpočet'!J4</f>
        <v> </v>
      </c>
      <c r="G4" s="122"/>
      <c r="H4" s="121" t="s">
        <v>222</v>
      </c>
      <c r="I4" s="168" t="s">
        <v>54</v>
      </c>
    </row>
    <row r="5" spans="1:9" ht="15" customHeight="1" x14ac:dyDescent="0.25">
      <c r="A5" s="166"/>
      <c r="B5" s="122"/>
      <c r="C5" s="122"/>
      <c r="D5" s="122"/>
      <c r="E5" s="122"/>
      <c r="F5" s="122"/>
      <c r="G5" s="122"/>
      <c r="H5" s="122"/>
      <c r="I5" s="168"/>
    </row>
    <row r="6" spans="1:9" x14ac:dyDescent="0.25">
      <c r="A6" s="159" t="s">
        <v>12</v>
      </c>
      <c r="B6" s="122"/>
      <c r="C6" s="121" t="str">
        <f>'Stavební rozpočet'!D6</f>
        <v>Kopřivnice</v>
      </c>
      <c r="D6" s="122"/>
      <c r="E6" s="121" t="s">
        <v>15</v>
      </c>
      <c r="F6" s="121" t="str">
        <f>'Stavební rozpočet'!J6</f>
        <v> </v>
      </c>
      <c r="G6" s="122"/>
      <c r="H6" s="121" t="s">
        <v>222</v>
      </c>
      <c r="I6" s="168" t="s">
        <v>54</v>
      </c>
    </row>
    <row r="7" spans="1:9" ht="15" customHeight="1" x14ac:dyDescent="0.25">
      <c r="A7" s="166"/>
      <c r="B7" s="122"/>
      <c r="C7" s="122"/>
      <c r="D7" s="122"/>
      <c r="E7" s="122"/>
      <c r="F7" s="122"/>
      <c r="G7" s="122"/>
      <c r="H7" s="122"/>
      <c r="I7" s="168"/>
    </row>
    <row r="8" spans="1:9" x14ac:dyDescent="0.25">
      <c r="A8" s="159" t="s">
        <v>9</v>
      </c>
      <c r="B8" s="122"/>
      <c r="C8" s="121" t="str">
        <f>'Stavební rozpočet'!H4</f>
        <v>20.03.2025</v>
      </c>
      <c r="D8" s="122"/>
      <c r="E8" s="121" t="s">
        <v>14</v>
      </c>
      <c r="F8" s="121" t="str">
        <f>'Stavební rozpočet'!H6</f>
        <v xml:space="preserve"> </v>
      </c>
      <c r="G8" s="122"/>
      <c r="H8" s="122" t="s">
        <v>223</v>
      </c>
      <c r="I8" s="169">
        <v>29</v>
      </c>
    </row>
    <row r="9" spans="1:9" x14ac:dyDescent="0.25">
      <c r="A9" s="166"/>
      <c r="B9" s="122"/>
      <c r="C9" s="122"/>
      <c r="D9" s="122"/>
      <c r="E9" s="122"/>
      <c r="F9" s="122"/>
      <c r="G9" s="122"/>
      <c r="H9" s="122"/>
      <c r="I9" s="168"/>
    </row>
    <row r="10" spans="1:9" x14ac:dyDescent="0.25">
      <c r="A10" s="159" t="s">
        <v>16</v>
      </c>
      <c r="B10" s="122"/>
      <c r="C10" s="121" t="str">
        <f>'Stavební rozpočet'!D8</f>
        <v xml:space="preserve"> </v>
      </c>
      <c r="D10" s="122"/>
      <c r="E10" s="121" t="s">
        <v>18</v>
      </c>
      <c r="F10" s="121" t="str">
        <f>'Stavební rozpočet'!J8</f>
        <v>Radek Himlar</v>
      </c>
      <c r="G10" s="122"/>
      <c r="H10" s="122" t="s">
        <v>224</v>
      </c>
      <c r="I10" s="153" t="str">
        <f>'Stavební rozpočet'!H8</f>
        <v>20.03.2025</v>
      </c>
    </row>
    <row r="11" spans="1:9" x14ac:dyDescent="0.25">
      <c r="A11" s="160"/>
      <c r="B11" s="158"/>
      <c r="C11" s="158"/>
      <c r="D11" s="158"/>
      <c r="E11" s="158"/>
      <c r="F11" s="158"/>
      <c r="G11" s="158"/>
      <c r="H11" s="158"/>
      <c r="I11" s="154"/>
    </row>
    <row r="13" spans="1:9" ht="15.75" x14ac:dyDescent="0.25">
      <c r="A13" s="190" t="s">
        <v>261</v>
      </c>
      <c r="B13" s="190"/>
      <c r="C13" s="190"/>
      <c r="D13" s="190"/>
      <c r="E13" s="190"/>
    </row>
    <row r="14" spans="1:9" hidden="1" x14ac:dyDescent="0.25">
      <c r="A14" s="191" t="s">
        <v>262</v>
      </c>
      <c r="B14" s="192"/>
      <c r="C14" s="192"/>
      <c r="D14" s="192"/>
      <c r="E14" s="193"/>
      <c r="F14" s="99" t="s">
        <v>263</v>
      </c>
      <c r="G14" s="99" t="s">
        <v>264</v>
      </c>
      <c r="H14" s="99" t="s">
        <v>265</v>
      </c>
      <c r="I14" s="99" t="s">
        <v>263</v>
      </c>
    </row>
    <row r="15" spans="1:9" hidden="1" x14ac:dyDescent="0.25">
      <c r="A15" s="175" t="s">
        <v>234</v>
      </c>
      <c r="B15" s="176"/>
      <c r="C15" s="176"/>
      <c r="D15" s="176"/>
      <c r="E15" s="177"/>
      <c r="F15" s="100">
        <v>0</v>
      </c>
      <c r="G15" s="101" t="s">
        <v>54</v>
      </c>
      <c r="H15" s="101" t="s">
        <v>54</v>
      </c>
      <c r="I15" s="100">
        <f>F15</f>
        <v>0</v>
      </c>
    </row>
    <row r="16" spans="1:9" hidden="1" x14ac:dyDescent="0.25">
      <c r="A16" s="175" t="s">
        <v>236</v>
      </c>
      <c r="B16" s="176"/>
      <c r="C16" s="176"/>
      <c r="D16" s="176"/>
      <c r="E16" s="177"/>
      <c r="F16" s="100">
        <v>0</v>
      </c>
      <c r="G16" s="101" t="s">
        <v>54</v>
      </c>
      <c r="H16" s="101" t="s">
        <v>54</v>
      </c>
      <c r="I16" s="100">
        <f>F16</f>
        <v>0</v>
      </c>
    </row>
    <row r="17" spans="1:9" hidden="1" x14ac:dyDescent="0.25">
      <c r="A17" s="178" t="s">
        <v>239</v>
      </c>
      <c r="B17" s="179"/>
      <c r="C17" s="179"/>
      <c r="D17" s="179"/>
      <c r="E17" s="180"/>
      <c r="F17" s="102">
        <v>0</v>
      </c>
      <c r="G17" s="103" t="s">
        <v>54</v>
      </c>
      <c r="H17" s="103" t="s">
        <v>54</v>
      </c>
      <c r="I17" s="102">
        <f>F17</f>
        <v>0</v>
      </c>
    </row>
    <row r="18" spans="1:9" hidden="1" x14ac:dyDescent="0.25">
      <c r="A18" s="181" t="s">
        <v>266</v>
      </c>
      <c r="B18" s="182"/>
      <c r="C18" s="182"/>
      <c r="D18" s="182"/>
      <c r="E18" s="183"/>
      <c r="F18" s="104" t="s">
        <v>54</v>
      </c>
      <c r="G18" s="105" t="s">
        <v>54</v>
      </c>
      <c r="H18" s="105" t="s">
        <v>54</v>
      </c>
      <c r="I18" s="106">
        <f>SUM(I15:I17)</f>
        <v>0</v>
      </c>
    </row>
    <row r="20" spans="1:9" x14ac:dyDescent="0.25">
      <c r="A20" s="191" t="s">
        <v>231</v>
      </c>
      <c r="B20" s="192"/>
      <c r="C20" s="192"/>
      <c r="D20" s="192"/>
      <c r="E20" s="193"/>
      <c r="F20" s="99" t="s">
        <v>263</v>
      </c>
      <c r="G20" s="99" t="s">
        <v>264</v>
      </c>
      <c r="H20" s="99" t="s">
        <v>265</v>
      </c>
      <c r="I20" s="99" t="s">
        <v>263</v>
      </c>
    </row>
    <row r="21" spans="1:9" x14ac:dyDescent="0.25">
      <c r="A21" s="175" t="s">
        <v>235</v>
      </c>
      <c r="B21" s="176"/>
      <c r="C21" s="176"/>
      <c r="D21" s="176"/>
      <c r="E21" s="177"/>
      <c r="F21" s="113">
        <v>0</v>
      </c>
      <c r="G21" s="101" t="s">
        <v>54</v>
      </c>
      <c r="H21" s="101" t="s">
        <v>54</v>
      </c>
      <c r="I21" s="100">
        <f t="shared" ref="I21:I26" si="0">F21</f>
        <v>0</v>
      </c>
    </row>
    <row r="22" spans="1:9" x14ac:dyDescent="0.25">
      <c r="A22" s="175" t="s">
        <v>237</v>
      </c>
      <c r="B22" s="176"/>
      <c r="C22" s="176"/>
      <c r="D22" s="176"/>
      <c r="E22" s="177"/>
      <c r="F22" s="113">
        <v>0</v>
      </c>
      <c r="G22" s="101" t="s">
        <v>54</v>
      </c>
      <c r="H22" s="101" t="s">
        <v>54</v>
      </c>
      <c r="I22" s="100">
        <f t="shared" si="0"/>
        <v>0</v>
      </c>
    </row>
    <row r="23" spans="1:9" hidden="1" x14ac:dyDescent="0.25">
      <c r="A23" s="175" t="s">
        <v>240</v>
      </c>
      <c r="B23" s="176"/>
      <c r="C23" s="176"/>
      <c r="D23" s="176"/>
      <c r="E23" s="177"/>
      <c r="F23" s="100">
        <v>0</v>
      </c>
      <c r="G23" s="101" t="s">
        <v>54</v>
      </c>
      <c r="H23" s="101" t="s">
        <v>54</v>
      </c>
      <c r="I23" s="100">
        <f t="shared" si="0"/>
        <v>0</v>
      </c>
    </row>
    <row r="24" spans="1:9" hidden="1" x14ac:dyDescent="0.25">
      <c r="A24" s="175" t="s">
        <v>241</v>
      </c>
      <c r="B24" s="176"/>
      <c r="C24" s="176"/>
      <c r="D24" s="176"/>
      <c r="E24" s="177"/>
      <c r="F24" s="100">
        <v>0</v>
      </c>
      <c r="G24" s="101" t="s">
        <v>54</v>
      </c>
      <c r="H24" s="101" t="s">
        <v>54</v>
      </c>
      <c r="I24" s="100">
        <f t="shared" si="0"/>
        <v>0</v>
      </c>
    </row>
    <row r="25" spans="1:9" hidden="1" x14ac:dyDescent="0.25">
      <c r="A25" s="175" t="s">
        <v>243</v>
      </c>
      <c r="B25" s="176"/>
      <c r="C25" s="176"/>
      <c r="D25" s="176"/>
      <c r="E25" s="177"/>
      <c r="F25" s="100">
        <v>0</v>
      </c>
      <c r="G25" s="101" t="s">
        <v>54</v>
      </c>
      <c r="H25" s="101" t="s">
        <v>54</v>
      </c>
      <c r="I25" s="100">
        <f t="shared" si="0"/>
        <v>0</v>
      </c>
    </row>
    <row r="26" spans="1:9" hidden="1" x14ac:dyDescent="0.25">
      <c r="A26" s="178" t="s">
        <v>244</v>
      </c>
      <c r="B26" s="179"/>
      <c r="C26" s="179"/>
      <c r="D26" s="179"/>
      <c r="E26" s="180"/>
      <c r="F26" s="102">
        <v>0</v>
      </c>
      <c r="G26" s="103" t="s">
        <v>54</v>
      </c>
      <c r="H26" s="103" t="s">
        <v>54</v>
      </c>
      <c r="I26" s="102">
        <f t="shared" si="0"/>
        <v>0</v>
      </c>
    </row>
    <row r="27" spans="1:9" x14ac:dyDescent="0.25">
      <c r="A27" s="181" t="s">
        <v>267</v>
      </c>
      <c r="B27" s="182"/>
      <c r="C27" s="182"/>
      <c r="D27" s="182"/>
      <c r="E27" s="183"/>
      <c r="F27" s="104" t="s">
        <v>54</v>
      </c>
      <c r="G27" s="105" t="s">
        <v>54</v>
      </c>
      <c r="H27" s="105" t="s">
        <v>54</v>
      </c>
      <c r="I27" s="106">
        <f>SUM(I21:I26)</f>
        <v>0</v>
      </c>
    </row>
    <row r="29" spans="1:9" ht="15.75" x14ac:dyDescent="0.25">
      <c r="A29" s="184" t="s">
        <v>268</v>
      </c>
      <c r="B29" s="185"/>
      <c r="C29" s="185"/>
      <c r="D29" s="185"/>
      <c r="E29" s="186"/>
      <c r="F29" s="187">
        <f>I18+I27</f>
        <v>0</v>
      </c>
      <c r="G29" s="188"/>
      <c r="H29" s="188"/>
      <c r="I29" s="189"/>
    </row>
    <row r="33" spans="1:9" ht="15.75" x14ac:dyDescent="0.25">
      <c r="A33" s="190" t="s">
        <v>269</v>
      </c>
      <c r="B33" s="190"/>
      <c r="C33" s="190"/>
      <c r="D33" s="190"/>
      <c r="E33" s="190"/>
    </row>
    <row r="34" spans="1:9" x14ac:dyDescent="0.25">
      <c r="A34" s="191" t="s">
        <v>270</v>
      </c>
      <c r="B34" s="192"/>
      <c r="C34" s="192"/>
      <c r="D34" s="192"/>
      <c r="E34" s="193"/>
      <c r="F34" s="99" t="s">
        <v>263</v>
      </c>
      <c r="G34" s="99" t="s">
        <v>264</v>
      </c>
      <c r="H34" s="99" t="s">
        <v>265</v>
      </c>
      <c r="I34" s="99" t="s">
        <v>263</v>
      </c>
    </row>
    <row r="35" spans="1:9" x14ac:dyDescent="0.25">
      <c r="A35" s="175" t="s">
        <v>271</v>
      </c>
      <c r="B35" s="176"/>
      <c r="C35" s="176"/>
      <c r="D35" s="176"/>
      <c r="E35" s="177"/>
      <c r="F35" s="113">
        <v>0</v>
      </c>
      <c r="G35" s="101" t="s">
        <v>54</v>
      </c>
      <c r="H35" s="101" t="s">
        <v>54</v>
      </c>
      <c r="I35" s="100">
        <f>F35</f>
        <v>0</v>
      </c>
    </row>
    <row r="36" spans="1:9" x14ac:dyDescent="0.25">
      <c r="A36" s="175" t="s">
        <v>272</v>
      </c>
      <c r="B36" s="176"/>
      <c r="C36" s="176"/>
      <c r="D36" s="176"/>
      <c r="E36" s="177"/>
      <c r="F36" s="113">
        <v>0</v>
      </c>
      <c r="G36" s="101" t="s">
        <v>54</v>
      </c>
      <c r="H36" s="101" t="s">
        <v>54</v>
      </c>
      <c r="I36" s="100">
        <f>F36</f>
        <v>0</v>
      </c>
    </row>
    <row r="37" spans="1:9" x14ac:dyDescent="0.25">
      <c r="A37" s="175" t="s">
        <v>273</v>
      </c>
      <c r="B37" s="176"/>
      <c r="C37" s="176"/>
      <c r="D37" s="176"/>
      <c r="E37" s="177"/>
      <c r="F37" s="113">
        <v>0</v>
      </c>
      <c r="G37" s="101" t="s">
        <v>54</v>
      </c>
      <c r="H37" s="101" t="s">
        <v>54</v>
      </c>
      <c r="I37" s="100">
        <f>F37</f>
        <v>0</v>
      </c>
    </row>
    <row r="38" spans="1:9" x14ac:dyDescent="0.25">
      <c r="A38" s="175" t="s">
        <v>274</v>
      </c>
      <c r="B38" s="176"/>
      <c r="C38" s="176"/>
      <c r="D38" s="176"/>
      <c r="E38" s="177"/>
      <c r="F38" s="113">
        <v>0</v>
      </c>
      <c r="G38" s="101" t="s">
        <v>54</v>
      </c>
      <c r="H38" s="101" t="s">
        <v>54</v>
      </c>
      <c r="I38" s="100">
        <f>F38</f>
        <v>0</v>
      </c>
    </row>
    <row r="39" spans="1:9" x14ac:dyDescent="0.25">
      <c r="A39" s="178" t="s">
        <v>275</v>
      </c>
      <c r="B39" s="179"/>
      <c r="C39" s="179"/>
      <c r="D39" s="179"/>
      <c r="E39" s="180"/>
      <c r="F39" s="114">
        <v>0</v>
      </c>
      <c r="G39" s="103" t="s">
        <v>54</v>
      </c>
      <c r="H39" s="103" t="s">
        <v>54</v>
      </c>
      <c r="I39" s="102">
        <f>F39</f>
        <v>0</v>
      </c>
    </row>
    <row r="40" spans="1:9" x14ac:dyDescent="0.25">
      <c r="A40" s="181" t="s">
        <v>276</v>
      </c>
      <c r="B40" s="182"/>
      <c r="C40" s="182"/>
      <c r="D40" s="182"/>
      <c r="E40" s="183"/>
      <c r="F40" s="104" t="s">
        <v>54</v>
      </c>
      <c r="G40" s="105" t="s">
        <v>54</v>
      </c>
      <c r="H40" s="105" t="s">
        <v>54</v>
      </c>
      <c r="I40" s="106">
        <f>SUM(I35:I39)</f>
        <v>0</v>
      </c>
    </row>
  </sheetData>
  <sheetProtection algorithmName="SHA-512" hashValue="GKOxnKaYeXqRfvN7cFLN2UxnCya2XtZvi0mZwht6wS32PbNDqBxlhkOrcW6KP+3cFqlt9iRcG4QqqDJbXSFraA==" saltValue="ba5Qv5Nk8wUJSYEnPhoYsw==" spinCount="100000" sheet="1" objects="1" scenarios="1"/>
  <mergeCells count="55"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  <mergeCell ref="E2:E3"/>
    <mergeCell ref="E4:E5"/>
    <mergeCell ref="E6:E7"/>
    <mergeCell ref="E8:E9"/>
    <mergeCell ref="E10:E11"/>
    <mergeCell ref="F2:G3"/>
    <mergeCell ref="F4:G5"/>
    <mergeCell ref="F6:G7"/>
    <mergeCell ref="F8:G9"/>
    <mergeCell ref="F10:G11"/>
    <mergeCell ref="C2:D3"/>
    <mergeCell ref="C4:D5"/>
    <mergeCell ref="C6:D7"/>
    <mergeCell ref="C8:D9"/>
    <mergeCell ref="C10:D11"/>
    <mergeCell ref="I10:I11"/>
    <mergeCell ref="A13:E13"/>
    <mergeCell ref="A14:E14"/>
    <mergeCell ref="A15:E15"/>
    <mergeCell ref="A16:E16"/>
    <mergeCell ref="H10:H11"/>
    <mergeCell ref="A10:B11"/>
    <mergeCell ref="A17:E17"/>
    <mergeCell ref="A18:E18"/>
    <mergeCell ref="A20:E20"/>
    <mergeCell ref="A21:E21"/>
    <mergeCell ref="A22:E22"/>
    <mergeCell ref="A23:E23"/>
    <mergeCell ref="A24:E24"/>
    <mergeCell ref="A25:E25"/>
    <mergeCell ref="A26:E26"/>
    <mergeCell ref="A27:E27"/>
    <mergeCell ref="A29:E29"/>
    <mergeCell ref="F29:I29"/>
    <mergeCell ref="A33:E33"/>
    <mergeCell ref="A34:E34"/>
    <mergeCell ref="A35:E35"/>
    <mergeCell ref="A36:E36"/>
    <mergeCell ref="A37:E37"/>
    <mergeCell ref="A38:E38"/>
    <mergeCell ref="A39:E39"/>
    <mergeCell ref="A40:E40"/>
  </mergeCells>
  <pageMargins left="0.393999993801117" right="0.393999993801117" top="0.59100002050399802" bottom="0.59100002050399802" header="0" footer="0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8"/>
  <sheetViews>
    <sheetView workbookViewId="0">
      <pane ySplit="11" topLeftCell="A12" activePane="bottomLeft" state="frozen"/>
      <selection pane="bottomLeft" activeCell="G8" sqref="G8:G9"/>
    </sheetView>
  </sheetViews>
  <sheetFormatPr defaultColWidth="12.140625" defaultRowHeight="15" customHeight="1" x14ac:dyDescent="0.25"/>
  <cols>
    <col min="1" max="2" width="8.5703125" customWidth="1"/>
    <col min="3" max="3" width="71.42578125" customWidth="1"/>
    <col min="4" max="6" width="27.85546875" customWidth="1"/>
    <col min="7" max="7" width="37.140625" customWidth="1"/>
    <col min="8" max="9" width="0" hidden="1" customWidth="1"/>
  </cols>
  <sheetData>
    <row r="1" spans="1:9" ht="54.75" customHeight="1" x14ac:dyDescent="0.25">
      <c r="A1" s="163" t="s">
        <v>215</v>
      </c>
      <c r="B1" s="163"/>
      <c r="C1" s="163"/>
      <c r="D1" s="163"/>
      <c r="E1" s="163"/>
      <c r="F1" s="163"/>
      <c r="G1" s="163"/>
    </row>
    <row r="2" spans="1:9" x14ac:dyDescent="0.25">
      <c r="A2" s="164" t="s">
        <v>1</v>
      </c>
      <c r="B2" s="165"/>
      <c r="C2" s="170" t="str">
        <f>'Stavební rozpočet'!D2</f>
        <v>Oprava rampy a příchozí zpevněné plochy u objektu</v>
      </c>
      <c r="D2" s="165" t="s">
        <v>3</v>
      </c>
      <c r="E2" s="165" t="s">
        <v>4</v>
      </c>
      <c r="F2" s="161" t="s">
        <v>5</v>
      </c>
      <c r="G2" s="194" t="str">
        <f>'Stavební rozpočet'!J2</f>
        <v> </v>
      </c>
    </row>
    <row r="3" spans="1:9" ht="15" customHeight="1" x14ac:dyDescent="0.25">
      <c r="A3" s="166"/>
      <c r="B3" s="122"/>
      <c r="C3" s="172"/>
      <c r="D3" s="122"/>
      <c r="E3" s="122"/>
      <c r="F3" s="122"/>
      <c r="G3" s="168"/>
    </row>
    <row r="4" spans="1:9" x14ac:dyDescent="0.25">
      <c r="A4" s="159" t="s">
        <v>7</v>
      </c>
      <c r="B4" s="122"/>
      <c r="C4" s="121" t="str">
        <f>'Stavební rozpočet'!D4</f>
        <v>SO 01 Rampa</v>
      </c>
      <c r="D4" s="122" t="s">
        <v>9</v>
      </c>
      <c r="E4" s="122" t="s">
        <v>10</v>
      </c>
      <c r="F4" s="121" t="s">
        <v>11</v>
      </c>
      <c r="G4" s="153" t="str">
        <f>'Stavební rozpočet'!J4</f>
        <v> </v>
      </c>
    </row>
    <row r="5" spans="1:9" ht="15" customHeight="1" x14ac:dyDescent="0.25">
      <c r="A5" s="166"/>
      <c r="B5" s="122"/>
      <c r="C5" s="122"/>
      <c r="D5" s="122"/>
      <c r="E5" s="122"/>
      <c r="F5" s="122"/>
      <c r="G5" s="168"/>
    </row>
    <row r="6" spans="1:9" x14ac:dyDescent="0.25">
      <c r="A6" s="159" t="s">
        <v>12</v>
      </c>
      <c r="B6" s="122"/>
      <c r="C6" s="121" t="str">
        <f>'Stavební rozpočet'!D6</f>
        <v>Kopřivnice</v>
      </c>
      <c r="D6" s="122" t="s">
        <v>14</v>
      </c>
      <c r="E6" s="122" t="s">
        <v>4</v>
      </c>
      <c r="F6" s="121" t="s">
        <v>15</v>
      </c>
      <c r="G6" s="153" t="str">
        <f>'Stavební rozpočet'!J6</f>
        <v> </v>
      </c>
    </row>
    <row r="7" spans="1:9" ht="15" customHeight="1" x14ac:dyDescent="0.25">
      <c r="A7" s="166"/>
      <c r="B7" s="122"/>
      <c r="C7" s="122"/>
      <c r="D7" s="122"/>
      <c r="E7" s="122"/>
      <c r="F7" s="122"/>
      <c r="G7" s="168"/>
    </row>
    <row r="8" spans="1:9" x14ac:dyDescent="0.25">
      <c r="A8" s="159" t="s">
        <v>18</v>
      </c>
      <c r="B8" s="122"/>
      <c r="C8" s="121" t="str">
        <f>'Stavební rozpočet'!J8</f>
        <v>Radek Himlar</v>
      </c>
      <c r="D8" s="122" t="s">
        <v>17</v>
      </c>
      <c r="E8" s="122" t="s">
        <v>10</v>
      </c>
      <c r="F8" s="122" t="s">
        <v>17</v>
      </c>
      <c r="G8" s="153" t="str">
        <f>'Stavební rozpočet'!H8</f>
        <v>20.03.2025</v>
      </c>
    </row>
    <row r="9" spans="1:9" x14ac:dyDescent="0.25">
      <c r="A9" s="197"/>
      <c r="B9" s="196"/>
      <c r="C9" s="196"/>
      <c r="D9" s="196"/>
      <c r="E9" s="196"/>
      <c r="F9" s="196"/>
      <c r="G9" s="195"/>
    </row>
    <row r="10" spans="1:9" x14ac:dyDescent="0.25">
      <c r="A10" s="73" t="s">
        <v>21</v>
      </c>
      <c r="B10" s="74" t="s">
        <v>22</v>
      </c>
      <c r="C10" s="75" t="s">
        <v>23</v>
      </c>
      <c r="D10" s="76" t="s">
        <v>216</v>
      </c>
      <c r="E10" s="76" t="s">
        <v>217</v>
      </c>
      <c r="F10" s="76" t="s">
        <v>218</v>
      </c>
      <c r="G10" s="77" t="s">
        <v>219</v>
      </c>
    </row>
    <row r="11" spans="1:9" x14ac:dyDescent="0.25">
      <c r="A11" s="78" t="s">
        <v>54</v>
      </c>
      <c r="B11" s="79" t="s">
        <v>55</v>
      </c>
      <c r="C11" s="79" t="s">
        <v>56</v>
      </c>
      <c r="D11" s="80">
        <f>ROUND('Stavební rozpočet'!J12,2)</f>
        <v>0</v>
      </c>
      <c r="E11" s="80">
        <f>ROUND('Stavební rozpočet'!K12,2)</f>
        <v>0</v>
      </c>
      <c r="F11" s="80">
        <f>ROUND('Stavební rozpočet'!L12,2)</f>
        <v>0</v>
      </c>
      <c r="G11" s="81">
        <f>'Stavební rozpočet'!O12</f>
        <v>0</v>
      </c>
      <c r="H11" s="82" t="s">
        <v>220</v>
      </c>
      <c r="I11" s="31">
        <f t="shared" ref="I11:I17" si="0">IF(H11="F",0,F11)</f>
        <v>0</v>
      </c>
    </row>
    <row r="12" spans="1:9" x14ac:dyDescent="0.25">
      <c r="A12" s="2" t="s">
        <v>54</v>
      </c>
      <c r="B12" s="3" t="s">
        <v>68</v>
      </c>
      <c r="C12" s="3" t="s">
        <v>69</v>
      </c>
      <c r="D12" s="31">
        <f>ROUND('Stavební rozpočet'!J15,2)</f>
        <v>0</v>
      </c>
      <c r="E12" s="31">
        <f>ROUND('Stavební rozpočet'!K15,2)</f>
        <v>0</v>
      </c>
      <c r="F12" s="31">
        <f>ROUND('Stavební rozpočet'!L15,2)</f>
        <v>0</v>
      </c>
      <c r="G12" s="67">
        <f>'Stavební rozpočet'!O15</f>
        <v>1.5889</v>
      </c>
      <c r="H12" s="82" t="s">
        <v>220</v>
      </c>
      <c r="I12" s="31">
        <f t="shared" si="0"/>
        <v>0</v>
      </c>
    </row>
    <row r="13" spans="1:9" x14ac:dyDescent="0.25">
      <c r="A13" s="2" t="s">
        <v>54</v>
      </c>
      <c r="B13" s="3" t="s">
        <v>93</v>
      </c>
      <c r="C13" s="3" t="s">
        <v>94</v>
      </c>
      <c r="D13" s="31">
        <f>ROUND('Stavební rozpočet'!J24,2)</f>
        <v>0</v>
      </c>
      <c r="E13" s="31">
        <f>ROUND('Stavební rozpočet'!K24,2)</f>
        <v>0</v>
      </c>
      <c r="F13" s="31">
        <f>ROUND('Stavební rozpočet'!L24,2)</f>
        <v>0</v>
      </c>
      <c r="G13" s="67">
        <f>'Stavební rozpočet'!O24</f>
        <v>0.66839999999999999</v>
      </c>
      <c r="H13" s="82" t="s">
        <v>220</v>
      </c>
      <c r="I13" s="31">
        <f t="shared" si="0"/>
        <v>0</v>
      </c>
    </row>
    <row r="14" spans="1:9" x14ac:dyDescent="0.25">
      <c r="A14" s="2" t="s">
        <v>54</v>
      </c>
      <c r="B14" s="3" t="s">
        <v>110</v>
      </c>
      <c r="C14" s="3" t="s">
        <v>111</v>
      </c>
      <c r="D14" s="31">
        <f>ROUND('Stavební rozpočet'!J32,2)</f>
        <v>0</v>
      </c>
      <c r="E14" s="31">
        <f>ROUND('Stavební rozpočet'!K32,2)</f>
        <v>0</v>
      </c>
      <c r="F14" s="31">
        <f>ROUND('Stavební rozpočet'!L32,2)</f>
        <v>0</v>
      </c>
      <c r="G14" s="67">
        <f>'Stavební rozpočet'!O32</f>
        <v>0.29314999999999997</v>
      </c>
      <c r="H14" s="82" t="s">
        <v>220</v>
      </c>
      <c r="I14" s="31">
        <f t="shared" si="0"/>
        <v>0</v>
      </c>
    </row>
    <row r="15" spans="1:9" x14ac:dyDescent="0.25">
      <c r="A15" s="2" t="s">
        <v>54</v>
      </c>
      <c r="B15" s="3" t="s">
        <v>136</v>
      </c>
      <c r="C15" s="3" t="s">
        <v>137</v>
      </c>
      <c r="D15" s="31">
        <f>ROUND('Stavební rozpočet'!J44,2)</f>
        <v>0</v>
      </c>
      <c r="E15" s="31">
        <f>ROUND('Stavební rozpočet'!K44,2)</f>
        <v>0</v>
      </c>
      <c r="F15" s="31">
        <f>ROUND('Stavební rozpočet'!L44,2)</f>
        <v>0</v>
      </c>
      <c r="G15" s="67">
        <f>'Stavební rozpočet'!O44</f>
        <v>1.72E-2</v>
      </c>
      <c r="H15" s="82" t="s">
        <v>220</v>
      </c>
      <c r="I15" s="31">
        <f t="shared" si="0"/>
        <v>0</v>
      </c>
    </row>
    <row r="16" spans="1:9" x14ac:dyDescent="0.25">
      <c r="A16" s="2" t="s">
        <v>54</v>
      </c>
      <c r="B16" s="3" t="s">
        <v>159</v>
      </c>
      <c r="C16" s="3" t="s">
        <v>160</v>
      </c>
      <c r="D16" s="31">
        <f>ROUND('Stavební rozpočet'!J52,2)</f>
        <v>0</v>
      </c>
      <c r="E16" s="31">
        <f>ROUND('Stavební rozpočet'!K52,2)</f>
        <v>0</v>
      </c>
      <c r="F16" s="31">
        <f>ROUND('Stavební rozpočet'!L52,2)</f>
        <v>0</v>
      </c>
      <c r="G16" s="67">
        <f>'Stavební rozpočet'!O52</f>
        <v>0.16125599999999998</v>
      </c>
      <c r="H16" s="82" t="s">
        <v>220</v>
      </c>
      <c r="I16" s="31">
        <f t="shared" si="0"/>
        <v>0</v>
      </c>
    </row>
    <row r="17" spans="1:9" x14ac:dyDescent="0.25">
      <c r="A17" s="59" t="s">
        <v>54</v>
      </c>
      <c r="B17" s="60" t="s">
        <v>175</v>
      </c>
      <c r="C17" s="60" t="s">
        <v>176</v>
      </c>
      <c r="D17" s="83">
        <f>ROUND('Stavební rozpočet'!J58,2)</f>
        <v>0</v>
      </c>
      <c r="E17" s="83">
        <f>ROUND('Stavební rozpočet'!K58,2)</f>
        <v>0</v>
      </c>
      <c r="F17" s="83">
        <f>ROUND('Stavební rozpočet'!L58,2)</f>
        <v>0</v>
      </c>
      <c r="G17" s="84">
        <f>'Stavební rozpočet'!O58</f>
        <v>0.16</v>
      </c>
      <c r="H17" s="82" t="s">
        <v>220</v>
      </c>
      <c r="I17" s="31">
        <f t="shared" si="0"/>
        <v>0</v>
      </c>
    </row>
    <row r="18" spans="1:9" x14ac:dyDescent="0.25">
      <c r="E18" s="56" t="s">
        <v>183</v>
      </c>
      <c r="F18" s="57">
        <f>ROUND(SUM(I11:I17),2)</f>
        <v>0</v>
      </c>
    </row>
  </sheetData>
  <mergeCells count="25"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  <mergeCell ref="G2:G3"/>
    <mergeCell ref="G4:G5"/>
    <mergeCell ref="G6:G7"/>
    <mergeCell ref="G8:G9"/>
    <mergeCell ref="C8:C9"/>
    <mergeCell ref="E2:E3"/>
    <mergeCell ref="E4:E5"/>
    <mergeCell ref="E6:E7"/>
    <mergeCell ref="E8:E9"/>
  </mergeCells>
  <pageMargins left="0.393999993801117" right="0.393999993801117" top="0.59100002050399802" bottom="0.59100002050399802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Z63"/>
  <sheetViews>
    <sheetView tabSelected="1" workbookViewId="0">
      <pane ySplit="11" topLeftCell="A12" activePane="bottomLeft" state="frozen"/>
      <selection pane="bottomLeft" activeCell="H20" sqref="H20"/>
    </sheetView>
  </sheetViews>
  <sheetFormatPr defaultColWidth="12.140625" defaultRowHeight="15" customHeight="1" x14ac:dyDescent="0.25"/>
  <cols>
    <col min="1" max="1" width="4" customWidth="1"/>
    <col min="2" max="2" width="7.5703125" customWidth="1"/>
    <col min="3" max="3" width="17.85546875" customWidth="1"/>
    <col min="4" max="4" width="28.5703125" customWidth="1"/>
    <col min="5" max="5" width="35.7109375" customWidth="1"/>
    <col min="6" max="6" width="4.28515625" customWidth="1"/>
    <col min="7" max="7" width="12.85546875" customWidth="1"/>
    <col min="8" max="8" width="12" style="111" customWidth="1"/>
    <col min="9" max="9" width="11.140625" customWidth="1"/>
    <col min="10" max="13" width="15.7109375" customWidth="1"/>
    <col min="14" max="15" width="11.7109375" customWidth="1"/>
    <col min="16" max="16" width="13.42578125" customWidth="1"/>
    <col min="25" max="75" width="12.140625" hidden="1"/>
    <col min="76" max="76" width="204.28515625" hidden="1" customWidth="1"/>
    <col min="77" max="78" width="12.140625" hidden="1"/>
  </cols>
  <sheetData>
    <row r="1" spans="1:76" ht="54.75" customHeight="1" x14ac:dyDescent="0.25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164" t="s">
        <v>1</v>
      </c>
      <c r="B2" s="165"/>
      <c r="C2" s="165"/>
      <c r="D2" s="170" t="s">
        <v>2</v>
      </c>
      <c r="E2" s="171"/>
      <c r="F2" s="165" t="s">
        <v>3</v>
      </c>
      <c r="G2" s="165"/>
      <c r="H2" s="225" t="s">
        <v>4</v>
      </c>
      <c r="I2" s="161" t="s">
        <v>5</v>
      </c>
      <c r="J2" s="165" t="s">
        <v>6</v>
      </c>
      <c r="K2" s="165"/>
      <c r="L2" s="165"/>
      <c r="M2" s="165"/>
      <c r="N2" s="165"/>
      <c r="O2" s="165"/>
      <c r="P2" s="167"/>
    </row>
    <row r="3" spans="1:76" x14ac:dyDescent="0.25">
      <c r="A3" s="166"/>
      <c r="B3" s="122"/>
      <c r="C3" s="122"/>
      <c r="D3" s="172"/>
      <c r="E3" s="172"/>
      <c r="F3" s="122"/>
      <c r="G3" s="122"/>
      <c r="H3" s="226"/>
      <c r="I3" s="122"/>
      <c r="J3" s="122"/>
      <c r="K3" s="122"/>
      <c r="L3" s="122"/>
      <c r="M3" s="122"/>
      <c r="N3" s="122"/>
      <c r="O3" s="122"/>
      <c r="P3" s="168"/>
    </row>
    <row r="4" spans="1:76" x14ac:dyDescent="0.25">
      <c r="A4" s="159" t="s">
        <v>7</v>
      </c>
      <c r="B4" s="122"/>
      <c r="C4" s="122"/>
      <c r="D4" s="173" t="s">
        <v>8</v>
      </c>
      <c r="E4" s="174"/>
      <c r="F4" s="122" t="s">
        <v>9</v>
      </c>
      <c r="G4" s="122"/>
      <c r="H4" s="226" t="s">
        <v>10</v>
      </c>
      <c r="I4" s="121" t="s">
        <v>11</v>
      </c>
      <c r="J4" s="122" t="s">
        <v>6</v>
      </c>
      <c r="K4" s="122"/>
      <c r="L4" s="122"/>
      <c r="M4" s="122"/>
      <c r="N4" s="122"/>
      <c r="O4" s="122"/>
      <c r="P4" s="168"/>
    </row>
    <row r="5" spans="1:76" x14ac:dyDescent="0.25">
      <c r="A5" s="166"/>
      <c r="B5" s="122"/>
      <c r="C5" s="122"/>
      <c r="D5" s="174"/>
      <c r="E5" s="174"/>
      <c r="F5" s="122"/>
      <c r="G5" s="122"/>
      <c r="H5" s="226"/>
      <c r="I5" s="122"/>
      <c r="J5" s="122"/>
      <c r="K5" s="122"/>
      <c r="L5" s="122"/>
      <c r="M5" s="122"/>
      <c r="N5" s="122"/>
      <c r="O5" s="122"/>
      <c r="P5" s="168"/>
    </row>
    <row r="6" spans="1:76" x14ac:dyDescent="0.25">
      <c r="A6" s="159" t="s">
        <v>12</v>
      </c>
      <c r="B6" s="122"/>
      <c r="C6" s="122"/>
      <c r="D6" s="121" t="s">
        <v>13</v>
      </c>
      <c r="E6" s="122"/>
      <c r="F6" s="122" t="s">
        <v>14</v>
      </c>
      <c r="G6" s="122"/>
      <c r="H6" s="226" t="s">
        <v>4</v>
      </c>
      <c r="I6" s="121" t="s">
        <v>15</v>
      </c>
      <c r="J6" s="122" t="s">
        <v>6</v>
      </c>
      <c r="K6" s="122"/>
      <c r="L6" s="122"/>
      <c r="M6" s="122"/>
      <c r="N6" s="122"/>
      <c r="O6" s="122"/>
      <c r="P6" s="168"/>
    </row>
    <row r="7" spans="1:76" x14ac:dyDescent="0.25">
      <c r="A7" s="166"/>
      <c r="B7" s="122"/>
      <c r="C7" s="122"/>
      <c r="D7" s="122"/>
      <c r="E7" s="122"/>
      <c r="F7" s="122"/>
      <c r="G7" s="122"/>
      <c r="H7" s="226"/>
      <c r="I7" s="122"/>
      <c r="J7" s="122"/>
      <c r="K7" s="122"/>
      <c r="L7" s="122"/>
      <c r="M7" s="122"/>
      <c r="N7" s="122"/>
      <c r="O7" s="122"/>
      <c r="P7" s="168"/>
    </row>
    <row r="8" spans="1:76" x14ac:dyDescent="0.25">
      <c r="A8" s="159" t="s">
        <v>16</v>
      </c>
      <c r="B8" s="122"/>
      <c r="C8" s="122"/>
      <c r="D8" s="121" t="s">
        <v>4</v>
      </c>
      <c r="E8" s="122"/>
      <c r="F8" s="122" t="s">
        <v>17</v>
      </c>
      <c r="G8" s="122"/>
      <c r="H8" s="226" t="s">
        <v>10</v>
      </c>
      <c r="I8" s="121" t="s">
        <v>18</v>
      </c>
      <c r="J8" s="121" t="s">
        <v>19</v>
      </c>
      <c r="K8" s="122"/>
      <c r="L8" s="122"/>
      <c r="M8" s="122"/>
      <c r="N8" s="122"/>
      <c r="O8" s="122"/>
      <c r="P8" s="168"/>
    </row>
    <row r="9" spans="1:76" x14ac:dyDescent="0.25">
      <c r="A9" s="197"/>
      <c r="B9" s="196"/>
      <c r="C9" s="196"/>
      <c r="D9" s="196"/>
      <c r="E9" s="196"/>
      <c r="F9" s="196"/>
      <c r="G9" s="196"/>
      <c r="H9" s="227"/>
      <c r="I9" s="196"/>
      <c r="J9" s="196"/>
      <c r="K9" s="196"/>
      <c r="L9" s="196"/>
      <c r="M9" s="196"/>
      <c r="N9" s="196"/>
      <c r="O9" s="196"/>
      <c r="P9" s="195"/>
    </row>
    <row r="10" spans="1:76" x14ac:dyDescent="0.25">
      <c r="A10" s="6" t="s">
        <v>20</v>
      </c>
      <c r="B10" s="7" t="s">
        <v>21</v>
      </c>
      <c r="C10" s="7" t="s">
        <v>22</v>
      </c>
      <c r="D10" s="223" t="s">
        <v>23</v>
      </c>
      <c r="E10" s="224"/>
      <c r="F10" s="7" t="s">
        <v>24</v>
      </c>
      <c r="G10" s="8" t="s">
        <v>25</v>
      </c>
      <c r="H10" s="107" t="s">
        <v>26</v>
      </c>
      <c r="I10" s="9" t="s">
        <v>27</v>
      </c>
      <c r="J10" s="216" t="s">
        <v>28</v>
      </c>
      <c r="K10" s="217"/>
      <c r="L10" s="218"/>
      <c r="M10" s="10" t="s">
        <v>28</v>
      </c>
      <c r="N10" s="219" t="s">
        <v>29</v>
      </c>
      <c r="O10" s="220"/>
      <c r="P10" s="11" t="s">
        <v>30</v>
      </c>
      <c r="BK10" s="12" t="s">
        <v>31</v>
      </c>
      <c r="BL10" s="13" t="s">
        <v>32</v>
      </c>
      <c r="BW10" s="13" t="s">
        <v>33</v>
      </c>
    </row>
    <row r="11" spans="1:76" x14ac:dyDescent="0.25">
      <c r="A11" s="14" t="s">
        <v>4</v>
      </c>
      <c r="B11" s="15" t="s">
        <v>4</v>
      </c>
      <c r="C11" s="15" t="s">
        <v>4</v>
      </c>
      <c r="D11" s="214" t="s">
        <v>34</v>
      </c>
      <c r="E11" s="215"/>
      <c r="F11" s="15" t="s">
        <v>4</v>
      </c>
      <c r="G11" s="15" t="s">
        <v>4</v>
      </c>
      <c r="H11" s="108" t="s">
        <v>35</v>
      </c>
      <c r="I11" s="16" t="s">
        <v>4</v>
      </c>
      <c r="J11" s="17" t="s">
        <v>36</v>
      </c>
      <c r="K11" s="18" t="s">
        <v>37</v>
      </c>
      <c r="L11" s="19" t="s">
        <v>38</v>
      </c>
      <c r="M11" s="20" t="s">
        <v>39</v>
      </c>
      <c r="N11" s="21" t="s">
        <v>40</v>
      </c>
      <c r="O11" s="22" t="s">
        <v>38</v>
      </c>
      <c r="P11" s="23" t="s">
        <v>41</v>
      </c>
      <c r="Z11" s="12" t="s">
        <v>42</v>
      </c>
      <c r="AA11" s="12" t="s">
        <v>43</v>
      </c>
      <c r="AB11" s="12" t="s">
        <v>44</v>
      </c>
      <c r="AC11" s="12" t="s">
        <v>45</v>
      </c>
      <c r="AD11" s="12" t="s">
        <v>46</v>
      </c>
      <c r="AE11" s="12" t="s">
        <v>47</v>
      </c>
      <c r="AF11" s="12" t="s">
        <v>48</v>
      </c>
      <c r="AG11" s="12" t="s">
        <v>49</v>
      </c>
      <c r="AH11" s="12" t="s">
        <v>50</v>
      </c>
      <c r="BH11" s="12" t="s">
        <v>51</v>
      </c>
      <c r="BI11" s="12" t="s">
        <v>52</v>
      </c>
      <c r="BJ11" s="12" t="s">
        <v>53</v>
      </c>
    </row>
    <row r="12" spans="1:76" x14ac:dyDescent="0.25">
      <c r="A12" s="24" t="s">
        <v>54</v>
      </c>
      <c r="B12" s="25" t="s">
        <v>54</v>
      </c>
      <c r="C12" s="25" t="s">
        <v>55</v>
      </c>
      <c r="D12" s="221" t="s">
        <v>56</v>
      </c>
      <c r="E12" s="222"/>
      <c r="F12" s="27" t="s">
        <v>4</v>
      </c>
      <c r="G12" s="27" t="s">
        <v>4</v>
      </c>
      <c r="H12" s="109" t="s">
        <v>4</v>
      </c>
      <c r="I12" s="27" t="s">
        <v>4</v>
      </c>
      <c r="J12" s="28">
        <f>SUM(J13:J14)</f>
        <v>0</v>
      </c>
      <c r="K12" s="28">
        <f>SUM(K13:K14)</f>
        <v>0</v>
      </c>
      <c r="L12" s="28">
        <f>SUM(L13:L14)</f>
        <v>0</v>
      </c>
      <c r="M12" s="28">
        <f>SUM(M13:M14)</f>
        <v>0</v>
      </c>
      <c r="N12" s="29" t="s">
        <v>54</v>
      </c>
      <c r="O12" s="28">
        <f>SUM(O13:O14)</f>
        <v>0</v>
      </c>
      <c r="P12" s="30" t="s">
        <v>54</v>
      </c>
      <c r="AI12" s="12" t="s">
        <v>54</v>
      </c>
      <c r="AS12" s="1">
        <f>SUM(AJ13:AJ14)</f>
        <v>0</v>
      </c>
      <c r="AT12" s="1">
        <f>SUM(AK13:AK14)</f>
        <v>0</v>
      </c>
      <c r="AU12" s="1">
        <f>SUM(AL13:AL14)</f>
        <v>0</v>
      </c>
    </row>
    <row r="13" spans="1:76" x14ac:dyDescent="0.25">
      <c r="A13" s="2" t="s">
        <v>57</v>
      </c>
      <c r="B13" s="3" t="s">
        <v>54</v>
      </c>
      <c r="C13" s="3" t="s">
        <v>58</v>
      </c>
      <c r="D13" s="121" t="s">
        <v>59</v>
      </c>
      <c r="E13" s="122"/>
      <c r="F13" s="3" t="s">
        <v>60</v>
      </c>
      <c r="G13" s="31">
        <v>2</v>
      </c>
      <c r="H13" s="112">
        <v>0</v>
      </c>
      <c r="I13" s="32">
        <v>21</v>
      </c>
      <c r="J13" s="31">
        <f>ROUND(G13*AO13,2)</f>
        <v>0</v>
      </c>
      <c r="K13" s="31">
        <f>ROUND(G13*AP13,2)</f>
        <v>0</v>
      </c>
      <c r="L13" s="31">
        <f>ROUND(G13*H13,2)</f>
        <v>0</v>
      </c>
      <c r="M13" s="31">
        <f>L13*(1+BW13/100)</f>
        <v>0</v>
      </c>
      <c r="N13" s="31">
        <v>0</v>
      </c>
      <c r="O13" s="31">
        <f>G13*N13</f>
        <v>0</v>
      </c>
      <c r="P13" s="33" t="s">
        <v>61</v>
      </c>
      <c r="Z13" s="31">
        <f>ROUND(IF(AQ13="5",BJ13,0),2)</f>
        <v>0</v>
      </c>
      <c r="AB13" s="31">
        <f>ROUND(IF(AQ13="1",BH13,0),2)</f>
        <v>0</v>
      </c>
      <c r="AC13" s="31">
        <f>ROUND(IF(AQ13="1",BI13,0),2)</f>
        <v>0</v>
      </c>
      <c r="AD13" s="31">
        <f>ROUND(IF(AQ13="7",BH13,0),2)</f>
        <v>0</v>
      </c>
      <c r="AE13" s="31">
        <f>ROUND(IF(AQ13="7",BI13,0),2)</f>
        <v>0</v>
      </c>
      <c r="AF13" s="31">
        <f>ROUND(IF(AQ13="2",BH13,0),2)</f>
        <v>0</v>
      </c>
      <c r="AG13" s="31">
        <f>ROUND(IF(AQ13="2",BI13,0),2)</f>
        <v>0</v>
      </c>
      <c r="AH13" s="31">
        <f>ROUND(IF(AQ13="0",BJ13,0),2)</f>
        <v>0</v>
      </c>
      <c r="AI13" s="12" t="s">
        <v>54</v>
      </c>
      <c r="AJ13" s="31">
        <f>IF(AN13=0,L13,0)</f>
        <v>0</v>
      </c>
      <c r="AK13" s="31">
        <f>IF(AN13=15,L13,0)</f>
        <v>0</v>
      </c>
      <c r="AL13" s="31">
        <f>IF(AN13=21,L13,0)</f>
        <v>0</v>
      </c>
      <c r="AN13" s="31">
        <v>21</v>
      </c>
      <c r="AO13" s="31">
        <f>H13*0</f>
        <v>0</v>
      </c>
      <c r="AP13" s="31">
        <f>H13*(1-0)</f>
        <v>0</v>
      </c>
      <c r="AQ13" s="34" t="s">
        <v>57</v>
      </c>
      <c r="AV13" s="31">
        <f>ROUND(AW13+AX13,2)</f>
        <v>0</v>
      </c>
      <c r="AW13" s="31">
        <f>ROUND(G13*AO13,2)</f>
        <v>0</v>
      </c>
      <c r="AX13" s="31">
        <f>ROUND(G13*AP13,2)</f>
        <v>0</v>
      </c>
      <c r="AY13" s="34" t="s">
        <v>62</v>
      </c>
      <c r="AZ13" s="34" t="s">
        <v>63</v>
      </c>
      <c r="BA13" s="12" t="s">
        <v>64</v>
      </c>
      <c r="BC13" s="31">
        <f>AW13+AX13</f>
        <v>0</v>
      </c>
      <c r="BD13" s="31">
        <f>H13/(100-BE13)*100</f>
        <v>0</v>
      </c>
      <c r="BE13" s="31">
        <v>0</v>
      </c>
      <c r="BF13" s="31">
        <f>O13</f>
        <v>0</v>
      </c>
      <c r="BH13" s="31">
        <f>G13*AO13</f>
        <v>0</v>
      </c>
      <c r="BI13" s="31">
        <f>G13*AP13</f>
        <v>0</v>
      </c>
      <c r="BJ13" s="31">
        <f>G13*H13</f>
        <v>0</v>
      </c>
      <c r="BK13" s="31"/>
      <c r="BL13" s="31">
        <v>13</v>
      </c>
      <c r="BW13" s="31">
        <f>I13</f>
        <v>21</v>
      </c>
      <c r="BX13" s="5" t="s">
        <v>59</v>
      </c>
    </row>
    <row r="14" spans="1:76" x14ac:dyDescent="0.25">
      <c r="A14" s="2" t="s">
        <v>65</v>
      </c>
      <c r="B14" s="3" t="s">
        <v>54</v>
      </c>
      <c r="C14" s="3" t="s">
        <v>66</v>
      </c>
      <c r="D14" s="121" t="s">
        <v>67</v>
      </c>
      <c r="E14" s="122"/>
      <c r="F14" s="3" t="s">
        <v>60</v>
      </c>
      <c r="G14" s="31">
        <v>2</v>
      </c>
      <c r="H14" s="112">
        <v>0</v>
      </c>
      <c r="I14" s="32">
        <v>21</v>
      </c>
      <c r="J14" s="31">
        <f>ROUND(G14*AO14,2)</f>
        <v>0</v>
      </c>
      <c r="K14" s="31">
        <f>ROUND(G14*AP14,2)</f>
        <v>0</v>
      </c>
      <c r="L14" s="31">
        <f>ROUND(G14*H14,2)</f>
        <v>0</v>
      </c>
      <c r="M14" s="31">
        <f>L14*(1+BW14/100)</f>
        <v>0</v>
      </c>
      <c r="N14" s="31">
        <v>0</v>
      </c>
      <c r="O14" s="31">
        <f>G14*N14</f>
        <v>0</v>
      </c>
      <c r="P14" s="33" t="s">
        <v>61</v>
      </c>
      <c r="Z14" s="31">
        <f>ROUND(IF(AQ14="5",BJ14,0),2)</f>
        <v>0</v>
      </c>
      <c r="AB14" s="31">
        <f>ROUND(IF(AQ14="1",BH14,0),2)</f>
        <v>0</v>
      </c>
      <c r="AC14" s="31">
        <f>ROUND(IF(AQ14="1",BI14,0),2)</f>
        <v>0</v>
      </c>
      <c r="AD14" s="31">
        <f>ROUND(IF(AQ14="7",BH14,0),2)</f>
        <v>0</v>
      </c>
      <c r="AE14" s="31">
        <f>ROUND(IF(AQ14="7",BI14,0),2)</f>
        <v>0</v>
      </c>
      <c r="AF14" s="31">
        <f>ROUND(IF(AQ14="2",BH14,0),2)</f>
        <v>0</v>
      </c>
      <c r="AG14" s="31">
        <f>ROUND(IF(AQ14="2",BI14,0),2)</f>
        <v>0</v>
      </c>
      <c r="AH14" s="31">
        <f>ROUND(IF(AQ14="0",BJ14,0),2)</f>
        <v>0</v>
      </c>
      <c r="AI14" s="12" t="s">
        <v>54</v>
      </c>
      <c r="AJ14" s="31">
        <f>IF(AN14=0,L14,0)</f>
        <v>0</v>
      </c>
      <c r="AK14" s="31">
        <f>IF(AN14=15,L14,0)</f>
        <v>0</v>
      </c>
      <c r="AL14" s="31">
        <f>IF(AN14=21,L14,0)</f>
        <v>0</v>
      </c>
      <c r="AN14" s="31">
        <v>21</v>
      </c>
      <c r="AO14" s="31">
        <f>H14*0</f>
        <v>0</v>
      </c>
      <c r="AP14" s="31">
        <f>H14*(1-0)</f>
        <v>0</v>
      </c>
      <c r="AQ14" s="34" t="s">
        <v>57</v>
      </c>
      <c r="AV14" s="31">
        <f>ROUND(AW14+AX14,2)</f>
        <v>0</v>
      </c>
      <c r="AW14" s="31">
        <f>ROUND(G14*AO14,2)</f>
        <v>0</v>
      </c>
      <c r="AX14" s="31">
        <f>ROUND(G14*AP14,2)</f>
        <v>0</v>
      </c>
      <c r="AY14" s="34" t="s">
        <v>62</v>
      </c>
      <c r="AZ14" s="34" t="s">
        <v>63</v>
      </c>
      <c r="BA14" s="12" t="s">
        <v>64</v>
      </c>
      <c r="BC14" s="31">
        <f>AW14+AX14</f>
        <v>0</v>
      </c>
      <c r="BD14" s="31">
        <f>H14/(100-BE14)*100</f>
        <v>0</v>
      </c>
      <c r="BE14" s="31">
        <v>0</v>
      </c>
      <c r="BF14" s="31">
        <f>O14</f>
        <v>0</v>
      </c>
      <c r="BH14" s="31">
        <f>G14*AO14</f>
        <v>0</v>
      </c>
      <c r="BI14" s="31">
        <f>G14*AP14</f>
        <v>0</v>
      </c>
      <c r="BJ14" s="31">
        <f>G14*H14</f>
        <v>0</v>
      </c>
      <c r="BK14" s="31"/>
      <c r="BL14" s="31">
        <v>13</v>
      </c>
      <c r="BW14" s="31">
        <f>I14</f>
        <v>21</v>
      </c>
      <c r="BX14" s="5" t="s">
        <v>67</v>
      </c>
    </row>
    <row r="15" spans="1:76" x14ac:dyDescent="0.25">
      <c r="A15" s="35" t="s">
        <v>54</v>
      </c>
      <c r="B15" s="36" t="s">
        <v>54</v>
      </c>
      <c r="C15" s="36" t="s">
        <v>68</v>
      </c>
      <c r="D15" s="208" t="s">
        <v>69</v>
      </c>
      <c r="E15" s="209"/>
      <c r="F15" s="38" t="s">
        <v>4</v>
      </c>
      <c r="G15" s="38" t="s">
        <v>4</v>
      </c>
      <c r="H15" s="110" t="s">
        <v>4</v>
      </c>
      <c r="I15" s="38" t="s">
        <v>4</v>
      </c>
      <c r="J15" s="1">
        <f>SUM(J16:J23)</f>
        <v>0</v>
      </c>
      <c r="K15" s="1">
        <f>SUM(K16:K23)</f>
        <v>0</v>
      </c>
      <c r="L15" s="1">
        <f>SUM(L16:L23)</f>
        <v>0</v>
      </c>
      <c r="M15" s="1">
        <f>SUM(M16:M23)</f>
        <v>0</v>
      </c>
      <c r="N15" s="12" t="s">
        <v>54</v>
      </c>
      <c r="O15" s="1">
        <f>SUM(O16:O23)</f>
        <v>1.5889</v>
      </c>
      <c r="P15" s="39" t="s">
        <v>54</v>
      </c>
      <c r="AI15" s="12" t="s">
        <v>54</v>
      </c>
      <c r="AS15" s="1">
        <f>SUM(AJ16:AJ23)</f>
        <v>0</v>
      </c>
      <c r="AT15" s="1">
        <f>SUM(AK16:AK23)</f>
        <v>0</v>
      </c>
      <c r="AU15" s="1">
        <f>SUM(AL16:AL23)</f>
        <v>0</v>
      </c>
    </row>
    <row r="16" spans="1:76" x14ac:dyDescent="0.25">
      <c r="A16" s="2" t="s">
        <v>70</v>
      </c>
      <c r="B16" s="3" t="s">
        <v>54</v>
      </c>
      <c r="C16" s="3" t="s">
        <v>71</v>
      </c>
      <c r="D16" s="121" t="s">
        <v>72</v>
      </c>
      <c r="E16" s="122"/>
      <c r="F16" s="3" t="s">
        <v>73</v>
      </c>
      <c r="G16" s="31">
        <v>25</v>
      </c>
      <c r="H16" s="112">
        <v>0</v>
      </c>
      <c r="I16" s="32">
        <v>21</v>
      </c>
      <c r="J16" s="31">
        <f>ROUND(G16*AO16,2)</f>
        <v>0</v>
      </c>
      <c r="K16" s="31">
        <f>ROUND(G16*AP16,2)</f>
        <v>0</v>
      </c>
      <c r="L16" s="31">
        <f>ROUND(G16*H16,2)</f>
        <v>0</v>
      </c>
      <c r="M16" s="31">
        <f>L16*(1+BW16/100)</f>
        <v>0</v>
      </c>
      <c r="N16" s="31">
        <v>3.82E-3</v>
      </c>
      <c r="O16" s="31">
        <f>G16*N16</f>
        <v>9.5500000000000002E-2</v>
      </c>
      <c r="P16" s="33" t="s">
        <v>61</v>
      </c>
      <c r="Z16" s="31">
        <f>ROUND(IF(AQ16="5",BJ16,0),2)</f>
        <v>0</v>
      </c>
      <c r="AB16" s="31">
        <f>ROUND(IF(AQ16="1",BH16,0),2)</f>
        <v>0</v>
      </c>
      <c r="AC16" s="31">
        <f>ROUND(IF(AQ16="1",BI16,0),2)</f>
        <v>0</v>
      </c>
      <c r="AD16" s="31">
        <f>ROUND(IF(AQ16="7",BH16,0),2)</f>
        <v>0</v>
      </c>
      <c r="AE16" s="31">
        <f>ROUND(IF(AQ16="7",BI16,0),2)</f>
        <v>0</v>
      </c>
      <c r="AF16" s="31">
        <f>ROUND(IF(AQ16="2",BH16,0),2)</f>
        <v>0</v>
      </c>
      <c r="AG16" s="31">
        <f>ROUND(IF(AQ16="2",BI16,0),2)</f>
        <v>0</v>
      </c>
      <c r="AH16" s="31">
        <f>ROUND(IF(AQ16="0",BJ16,0),2)</f>
        <v>0</v>
      </c>
      <c r="AI16" s="12" t="s">
        <v>54</v>
      </c>
      <c r="AJ16" s="31">
        <f>IF(AN16=0,L16,0)</f>
        <v>0</v>
      </c>
      <c r="AK16" s="31">
        <f>IF(AN16=15,L16,0)</f>
        <v>0</v>
      </c>
      <c r="AL16" s="31">
        <f>IF(AN16=21,L16,0)</f>
        <v>0</v>
      </c>
      <c r="AN16" s="31">
        <v>21</v>
      </c>
      <c r="AO16" s="31">
        <f>H16*0.298576909</f>
        <v>0</v>
      </c>
      <c r="AP16" s="31">
        <f>H16*(1-0.298576909)</f>
        <v>0</v>
      </c>
      <c r="AQ16" s="34" t="s">
        <v>57</v>
      </c>
      <c r="AV16" s="31">
        <f>ROUND(AW16+AX16,2)</f>
        <v>0</v>
      </c>
      <c r="AW16" s="31">
        <f>ROUND(G16*AO16,2)</f>
        <v>0</v>
      </c>
      <c r="AX16" s="31">
        <f>ROUND(G16*AP16,2)</f>
        <v>0</v>
      </c>
      <c r="AY16" s="34" t="s">
        <v>74</v>
      </c>
      <c r="AZ16" s="34" t="s">
        <v>75</v>
      </c>
      <c r="BA16" s="12" t="s">
        <v>64</v>
      </c>
      <c r="BC16" s="31">
        <f>AW16+AX16</f>
        <v>0</v>
      </c>
      <c r="BD16" s="31">
        <f>H16/(100-BE16)*100</f>
        <v>0</v>
      </c>
      <c r="BE16" s="31">
        <v>0</v>
      </c>
      <c r="BF16" s="31">
        <f>O16</f>
        <v>9.5500000000000002E-2</v>
      </c>
      <c r="BH16" s="31">
        <f>G16*AO16</f>
        <v>0</v>
      </c>
      <c r="BI16" s="31">
        <f>G16*AP16</f>
        <v>0</v>
      </c>
      <c r="BJ16" s="31">
        <f>G16*H16</f>
        <v>0</v>
      </c>
      <c r="BK16" s="31"/>
      <c r="BL16" s="31">
        <v>62</v>
      </c>
      <c r="BW16" s="31">
        <f>I16</f>
        <v>21</v>
      </c>
      <c r="BX16" s="5" t="s">
        <v>72</v>
      </c>
    </row>
    <row r="17" spans="1:76" x14ac:dyDescent="0.25">
      <c r="A17" s="40"/>
      <c r="C17" s="41"/>
      <c r="D17" s="207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6"/>
      <c r="BX17" s="42"/>
    </row>
    <row r="18" spans="1:76" x14ac:dyDescent="0.25">
      <c r="A18" s="2" t="s">
        <v>77</v>
      </c>
      <c r="B18" s="3" t="s">
        <v>54</v>
      </c>
      <c r="C18" s="3" t="s">
        <v>78</v>
      </c>
      <c r="D18" s="121" t="s">
        <v>79</v>
      </c>
      <c r="E18" s="122"/>
      <c r="F18" s="3" t="s">
        <v>80</v>
      </c>
      <c r="G18" s="31">
        <v>24</v>
      </c>
      <c r="H18" s="112">
        <v>0</v>
      </c>
      <c r="I18" s="32">
        <v>21</v>
      </c>
      <c r="J18" s="31">
        <f>ROUND(G18*AO18,2)</f>
        <v>0</v>
      </c>
      <c r="K18" s="31">
        <f>ROUND(G18*AP18,2)</f>
        <v>0</v>
      </c>
      <c r="L18" s="31">
        <f>ROUND(G18*H18,2)</f>
        <v>0</v>
      </c>
      <c r="M18" s="31">
        <f>L18*(1+BW18/100)</f>
        <v>0</v>
      </c>
      <c r="N18" s="31">
        <v>0</v>
      </c>
      <c r="O18" s="31">
        <f>G18*N18</f>
        <v>0</v>
      </c>
      <c r="P18" s="33" t="s">
        <v>61</v>
      </c>
      <c r="Z18" s="31">
        <f>ROUND(IF(AQ18="5",BJ18,0),2)</f>
        <v>0</v>
      </c>
      <c r="AB18" s="31">
        <f>ROUND(IF(AQ18="1",BH18,0),2)</f>
        <v>0</v>
      </c>
      <c r="AC18" s="31">
        <f>ROUND(IF(AQ18="1",BI18,0),2)</f>
        <v>0</v>
      </c>
      <c r="AD18" s="31">
        <f>ROUND(IF(AQ18="7",BH18,0),2)</f>
        <v>0</v>
      </c>
      <c r="AE18" s="31">
        <f>ROUND(IF(AQ18="7",BI18,0),2)</f>
        <v>0</v>
      </c>
      <c r="AF18" s="31">
        <f>ROUND(IF(AQ18="2",BH18,0),2)</f>
        <v>0</v>
      </c>
      <c r="AG18" s="31">
        <f>ROUND(IF(AQ18="2",BI18,0),2)</f>
        <v>0</v>
      </c>
      <c r="AH18" s="31">
        <f>ROUND(IF(AQ18="0",BJ18,0),2)</f>
        <v>0</v>
      </c>
      <c r="AI18" s="12" t="s">
        <v>54</v>
      </c>
      <c r="AJ18" s="31">
        <f>IF(AN18=0,L18,0)</f>
        <v>0</v>
      </c>
      <c r="AK18" s="31">
        <f>IF(AN18=15,L18,0)</f>
        <v>0</v>
      </c>
      <c r="AL18" s="31">
        <f>IF(AN18=21,L18,0)</f>
        <v>0</v>
      </c>
      <c r="AN18" s="31">
        <v>21</v>
      </c>
      <c r="AO18" s="31">
        <f>H18*0</f>
        <v>0</v>
      </c>
      <c r="AP18" s="31">
        <f>H18*(1-0)</f>
        <v>0</v>
      </c>
      <c r="AQ18" s="34" t="s">
        <v>57</v>
      </c>
      <c r="AV18" s="31">
        <f>ROUND(AW18+AX18,2)</f>
        <v>0</v>
      </c>
      <c r="AW18" s="31">
        <f>ROUND(G18*AO18,2)</f>
        <v>0</v>
      </c>
      <c r="AX18" s="31">
        <f>ROUND(G18*AP18,2)</f>
        <v>0</v>
      </c>
      <c r="AY18" s="34" t="s">
        <v>74</v>
      </c>
      <c r="AZ18" s="34" t="s">
        <v>75</v>
      </c>
      <c r="BA18" s="12" t="s">
        <v>64</v>
      </c>
      <c r="BC18" s="31">
        <f>AW18+AX18</f>
        <v>0</v>
      </c>
      <c r="BD18" s="31">
        <f>H18/(100-BE18)*100</f>
        <v>0</v>
      </c>
      <c r="BE18" s="31">
        <v>0</v>
      </c>
      <c r="BF18" s="31">
        <f>O18</f>
        <v>0</v>
      </c>
      <c r="BH18" s="31">
        <f>G18*AO18</f>
        <v>0</v>
      </c>
      <c r="BI18" s="31">
        <f>G18*AP18</f>
        <v>0</v>
      </c>
      <c r="BJ18" s="31">
        <f>G18*H18</f>
        <v>0</v>
      </c>
      <c r="BK18" s="31"/>
      <c r="BL18" s="31">
        <v>62</v>
      </c>
      <c r="BW18" s="31">
        <f>I18</f>
        <v>21</v>
      </c>
      <c r="BX18" s="5" t="s">
        <v>79</v>
      </c>
    </row>
    <row r="19" spans="1:76" x14ac:dyDescent="0.25">
      <c r="A19" s="43" t="s">
        <v>81</v>
      </c>
      <c r="B19" s="44" t="s">
        <v>54</v>
      </c>
      <c r="C19" s="44" t="s">
        <v>82</v>
      </c>
      <c r="D19" s="198" t="s">
        <v>83</v>
      </c>
      <c r="E19" s="199"/>
      <c r="F19" s="44" t="s">
        <v>80</v>
      </c>
      <c r="G19" s="45">
        <v>24</v>
      </c>
      <c r="H19" s="112">
        <v>0</v>
      </c>
      <c r="I19" s="46">
        <v>21</v>
      </c>
      <c r="J19" s="45">
        <f>ROUND(G19*AO19,2)</f>
        <v>0</v>
      </c>
      <c r="K19" s="45">
        <f>ROUND(G19*AP19,2)</f>
        <v>0</v>
      </c>
      <c r="L19" s="45">
        <f>ROUND(G19*H19,2)</f>
        <v>0</v>
      </c>
      <c r="M19" s="45">
        <f>L19*(1+BW19/100)</f>
        <v>0</v>
      </c>
      <c r="N19" s="45">
        <v>2.0000000000000001E-4</v>
      </c>
      <c r="O19" s="45">
        <f>G19*N19</f>
        <v>4.8000000000000004E-3</v>
      </c>
      <c r="P19" s="47" t="s">
        <v>61</v>
      </c>
      <c r="Z19" s="31">
        <f>ROUND(IF(AQ19="5",BJ19,0),2)</f>
        <v>0</v>
      </c>
      <c r="AB19" s="31">
        <f>ROUND(IF(AQ19="1",BH19,0),2)</f>
        <v>0</v>
      </c>
      <c r="AC19" s="31">
        <f>ROUND(IF(AQ19="1",BI19,0),2)</f>
        <v>0</v>
      </c>
      <c r="AD19" s="31">
        <f>ROUND(IF(AQ19="7",BH19,0),2)</f>
        <v>0</v>
      </c>
      <c r="AE19" s="31">
        <f>ROUND(IF(AQ19="7",BI19,0),2)</f>
        <v>0</v>
      </c>
      <c r="AF19" s="31">
        <f>ROUND(IF(AQ19="2",BH19,0),2)</f>
        <v>0</v>
      </c>
      <c r="AG19" s="31">
        <f>ROUND(IF(AQ19="2",BI19,0),2)</f>
        <v>0</v>
      </c>
      <c r="AH19" s="31">
        <f>ROUND(IF(AQ19="0",BJ19,0),2)</f>
        <v>0</v>
      </c>
      <c r="AI19" s="12" t="s">
        <v>54</v>
      </c>
      <c r="AJ19" s="31">
        <f>IF(AN19=0,L19,0)</f>
        <v>0</v>
      </c>
      <c r="AK19" s="31">
        <f>IF(AN19=15,L19,0)</f>
        <v>0</v>
      </c>
      <c r="AL19" s="31">
        <f>IF(AN19=21,L19,0)</f>
        <v>0</v>
      </c>
      <c r="AN19" s="31">
        <v>21</v>
      </c>
      <c r="AO19" s="31">
        <f>H19*0.621081081</f>
        <v>0</v>
      </c>
      <c r="AP19" s="31">
        <f>H19*(1-0.621081081)</f>
        <v>0</v>
      </c>
      <c r="AQ19" s="34" t="s">
        <v>57</v>
      </c>
      <c r="AV19" s="31">
        <f>ROUND(AW19+AX19,2)</f>
        <v>0</v>
      </c>
      <c r="AW19" s="31">
        <f>ROUND(G19*AO19,2)</f>
        <v>0</v>
      </c>
      <c r="AX19" s="31">
        <f>ROUND(G19*AP19,2)</f>
        <v>0</v>
      </c>
      <c r="AY19" s="34" t="s">
        <v>74</v>
      </c>
      <c r="AZ19" s="34" t="s">
        <v>75</v>
      </c>
      <c r="BA19" s="12" t="s">
        <v>64</v>
      </c>
      <c r="BC19" s="31">
        <f>AW19+AX19</f>
        <v>0</v>
      </c>
      <c r="BD19" s="31">
        <f>H19/(100-BE19)*100</f>
        <v>0</v>
      </c>
      <c r="BE19" s="31">
        <v>0</v>
      </c>
      <c r="BF19" s="31">
        <f>O19</f>
        <v>4.8000000000000004E-3</v>
      </c>
      <c r="BH19" s="31">
        <f>G19*AO19</f>
        <v>0</v>
      </c>
      <c r="BI19" s="31">
        <f>G19*AP19</f>
        <v>0</v>
      </c>
      <c r="BJ19" s="31">
        <f>G19*H19</f>
        <v>0</v>
      </c>
      <c r="BK19" s="31"/>
      <c r="BL19" s="31">
        <v>62</v>
      </c>
      <c r="BW19" s="31">
        <f>I19</f>
        <v>21</v>
      </c>
      <c r="BX19" s="5" t="s">
        <v>83</v>
      </c>
    </row>
    <row r="20" spans="1:76" x14ac:dyDescent="0.25">
      <c r="A20" s="2" t="s">
        <v>84</v>
      </c>
      <c r="B20" s="3" t="s">
        <v>54</v>
      </c>
      <c r="C20" s="3" t="s">
        <v>85</v>
      </c>
      <c r="D20" s="121" t="s">
        <v>86</v>
      </c>
      <c r="E20" s="122"/>
      <c r="F20" s="3" t="s">
        <v>80</v>
      </c>
      <c r="G20" s="31">
        <v>5</v>
      </c>
      <c r="H20" s="112">
        <v>0</v>
      </c>
      <c r="I20" s="32">
        <v>21</v>
      </c>
      <c r="J20" s="31">
        <f>ROUND(G20*AO20,2)</f>
        <v>0</v>
      </c>
      <c r="K20" s="31">
        <f>ROUND(G20*AP20,2)</f>
        <v>0</v>
      </c>
      <c r="L20" s="31">
        <f>ROUND(G20*H20,2)</f>
        <v>0</v>
      </c>
      <c r="M20" s="31">
        <f>L20*(1+BW20/100)</f>
        <v>0</v>
      </c>
      <c r="N20" s="31">
        <v>0</v>
      </c>
      <c r="O20" s="31">
        <f>G20*N20</f>
        <v>0</v>
      </c>
      <c r="P20" s="33" t="s">
        <v>61</v>
      </c>
      <c r="Z20" s="31">
        <f>ROUND(IF(AQ20="5",BJ20,0),2)</f>
        <v>0</v>
      </c>
      <c r="AB20" s="31">
        <f>ROUND(IF(AQ20="1",BH20,0),2)</f>
        <v>0</v>
      </c>
      <c r="AC20" s="31">
        <f>ROUND(IF(AQ20="1",BI20,0),2)</f>
        <v>0</v>
      </c>
      <c r="AD20" s="31">
        <f>ROUND(IF(AQ20="7",BH20,0),2)</f>
        <v>0</v>
      </c>
      <c r="AE20" s="31">
        <f>ROUND(IF(AQ20="7",BI20,0),2)</f>
        <v>0</v>
      </c>
      <c r="AF20" s="31">
        <f>ROUND(IF(AQ20="2",BH20,0),2)</f>
        <v>0</v>
      </c>
      <c r="AG20" s="31">
        <f>ROUND(IF(AQ20="2",BI20,0),2)</f>
        <v>0</v>
      </c>
      <c r="AH20" s="31">
        <f>ROUND(IF(AQ20="0",BJ20,0),2)</f>
        <v>0</v>
      </c>
      <c r="AI20" s="12" t="s">
        <v>54</v>
      </c>
      <c r="AJ20" s="31">
        <f>IF(AN20=0,L20,0)</f>
        <v>0</v>
      </c>
      <c r="AK20" s="31">
        <f>IF(AN20=15,L20,0)</f>
        <v>0</v>
      </c>
      <c r="AL20" s="31">
        <f>IF(AN20=21,L20,0)</f>
        <v>0</v>
      </c>
      <c r="AN20" s="31">
        <v>21</v>
      </c>
      <c r="AO20" s="31">
        <f>H20*0</f>
        <v>0</v>
      </c>
      <c r="AP20" s="31">
        <f>H20*(1-0)</f>
        <v>0</v>
      </c>
      <c r="AQ20" s="34" t="s">
        <v>57</v>
      </c>
      <c r="AV20" s="31">
        <f>ROUND(AW20+AX20,2)</f>
        <v>0</v>
      </c>
      <c r="AW20" s="31">
        <f>ROUND(G20*AO20,2)</f>
        <v>0</v>
      </c>
      <c r="AX20" s="31">
        <f>ROUND(G20*AP20,2)</f>
        <v>0</v>
      </c>
      <c r="AY20" s="34" t="s">
        <v>74</v>
      </c>
      <c r="AZ20" s="34" t="s">
        <v>75</v>
      </c>
      <c r="BA20" s="12" t="s">
        <v>64</v>
      </c>
      <c r="BC20" s="31">
        <f>AW20+AX20</f>
        <v>0</v>
      </c>
      <c r="BD20" s="31">
        <f>H20/(100-BE20)*100</f>
        <v>0</v>
      </c>
      <c r="BE20" s="31">
        <v>0</v>
      </c>
      <c r="BF20" s="31">
        <f>O20</f>
        <v>0</v>
      </c>
      <c r="BH20" s="31">
        <f>G20*AO20</f>
        <v>0</v>
      </c>
      <c r="BI20" s="31">
        <f>G20*AP20</f>
        <v>0</v>
      </c>
      <c r="BJ20" s="31">
        <f>G20*H20</f>
        <v>0</v>
      </c>
      <c r="BK20" s="31"/>
      <c r="BL20" s="31">
        <v>62</v>
      </c>
      <c r="BW20" s="31">
        <f>I20</f>
        <v>21</v>
      </c>
      <c r="BX20" s="5" t="s">
        <v>86</v>
      </c>
    </row>
    <row r="21" spans="1:76" x14ac:dyDescent="0.25">
      <c r="A21" s="43" t="s">
        <v>87</v>
      </c>
      <c r="B21" s="44" t="s">
        <v>54</v>
      </c>
      <c r="C21" s="44" t="s">
        <v>88</v>
      </c>
      <c r="D21" s="198" t="s">
        <v>89</v>
      </c>
      <c r="E21" s="199"/>
      <c r="F21" s="44" t="s">
        <v>80</v>
      </c>
      <c r="G21" s="45">
        <v>5</v>
      </c>
      <c r="H21" s="112">
        <v>0</v>
      </c>
      <c r="I21" s="46">
        <v>21</v>
      </c>
      <c r="J21" s="45">
        <f>ROUND(G21*AO21,2)</f>
        <v>0</v>
      </c>
      <c r="K21" s="45">
        <f>ROUND(G21*AP21,2)</f>
        <v>0</v>
      </c>
      <c r="L21" s="45">
        <f>ROUND(G21*H21,2)</f>
        <v>0</v>
      </c>
      <c r="M21" s="45">
        <f>L21*(1+BW21/100)</f>
        <v>0</v>
      </c>
      <c r="N21" s="45">
        <v>4.2000000000000002E-4</v>
      </c>
      <c r="O21" s="45">
        <f>G21*N21</f>
        <v>2.1000000000000003E-3</v>
      </c>
      <c r="P21" s="47" t="s">
        <v>61</v>
      </c>
      <c r="Z21" s="31">
        <f>ROUND(IF(AQ21="5",BJ21,0),2)</f>
        <v>0</v>
      </c>
      <c r="AB21" s="31">
        <f>ROUND(IF(AQ21="1",BH21,0),2)</f>
        <v>0</v>
      </c>
      <c r="AC21" s="31">
        <f>ROUND(IF(AQ21="1",BI21,0),2)</f>
        <v>0</v>
      </c>
      <c r="AD21" s="31">
        <f>ROUND(IF(AQ21="7",BH21,0),2)</f>
        <v>0</v>
      </c>
      <c r="AE21" s="31">
        <f>ROUND(IF(AQ21="7",BI21,0),2)</f>
        <v>0</v>
      </c>
      <c r="AF21" s="31">
        <f>ROUND(IF(AQ21="2",BH21,0),2)</f>
        <v>0</v>
      </c>
      <c r="AG21" s="31">
        <f>ROUND(IF(AQ21="2",BI21,0),2)</f>
        <v>0</v>
      </c>
      <c r="AH21" s="31">
        <f>ROUND(IF(AQ21="0",BJ21,0),2)</f>
        <v>0</v>
      </c>
      <c r="AI21" s="12" t="s">
        <v>54</v>
      </c>
      <c r="AJ21" s="31">
        <f>IF(AN21=0,L21,0)</f>
        <v>0</v>
      </c>
      <c r="AK21" s="31">
        <f>IF(AN21=15,L21,0)</f>
        <v>0</v>
      </c>
      <c r="AL21" s="31">
        <f>IF(AN21=21,L21,0)</f>
        <v>0</v>
      </c>
      <c r="AN21" s="31">
        <v>21</v>
      </c>
      <c r="AO21" s="31">
        <f>H21*1</f>
        <v>0</v>
      </c>
      <c r="AP21" s="31">
        <f>H21*(1-1)</f>
        <v>0</v>
      </c>
      <c r="AQ21" s="34" t="s">
        <v>57</v>
      </c>
      <c r="AV21" s="31">
        <f>ROUND(AW21+AX21,2)</f>
        <v>0</v>
      </c>
      <c r="AW21" s="31">
        <f>ROUND(G21*AO21,2)</f>
        <v>0</v>
      </c>
      <c r="AX21" s="31">
        <f>ROUND(G21*AP21,2)</f>
        <v>0</v>
      </c>
      <c r="AY21" s="34" t="s">
        <v>74</v>
      </c>
      <c r="AZ21" s="34" t="s">
        <v>75</v>
      </c>
      <c r="BA21" s="12" t="s">
        <v>64</v>
      </c>
      <c r="BC21" s="31">
        <f>AW21+AX21</f>
        <v>0</v>
      </c>
      <c r="BD21" s="31">
        <f>H21/(100-BE21)*100</f>
        <v>0</v>
      </c>
      <c r="BE21" s="31">
        <v>0</v>
      </c>
      <c r="BF21" s="31">
        <f>O21</f>
        <v>2.1000000000000003E-3</v>
      </c>
      <c r="BH21" s="31">
        <f>G21*AO21</f>
        <v>0</v>
      </c>
      <c r="BI21" s="31">
        <f>G21*AP21</f>
        <v>0</v>
      </c>
      <c r="BJ21" s="31">
        <f>G21*H21</f>
        <v>0</v>
      </c>
      <c r="BK21" s="31"/>
      <c r="BL21" s="31">
        <v>62</v>
      </c>
      <c r="BW21" s="31">
        <f>I21</f>
        <v>21</v>
      </c>
      <c r="BX21" s="5" t="s">
        <v>89</v>
      </c>
    </row>
    <row r="22" spans="1:76" x14ac:dyDescent="0.25">
      <c r="A22" s="40"/>
      <c r="C22" s="41"/>
      <c r="D22" s="207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6"/>
      <c r="BX22" s="42"/>
    </row>
    <row r="23" spans="1:76" x14ac:dyDescent="0.25">
      <c r="A23" s="2" t="s">
        <v>90</v>
      </c>
      <c r="B23" s="3" t="s">
        <v>54</v>
      </c>
      <c r="C23" s="3" t="s">
        <v>91</v>
      </c>
      <c r="D23" s="121" t="s">
        <v>92</v>
      </c>
      <c r="E23" s="122"/>
      <c r="F23" s="3" t="s">
        <v>73</v>
      </c>
      <c r="G23" s="31">
        <v>25</v>
      </c>
      <c r="H23" s="112">
        <v>0</v>
      </c>
      <c r="I23" s="32">
        <v>21</v>
      </c>
      <c r="J23" s="31">
        <f>ROUND(G23*AO23,2)</f>
        <v>0</v>
      </c>
      <c r="K23" s="31">
        <f>ROUND(G23*AP23,2)</f>
        <v>0</v>
      </c>
      <c r="L23" s="31">
        <f>ROUND(G23*H23,2)</f>
        <v>0</v>
      </c>
      <c r="M23" s="31">
        <f>L23*(1+BW23/100)</f>
        <v>0</v>
      </c>
      <c r="N23" s="31">
        <v>5.9459999999999999E-2</v>
      </c>
      <c r="O23" s="31">
        <f>G23*N23</f>
        <v>1.4864999999999999</v>
      </c>
      <c r="P23" s="33" t="s">
        <v>61</v>
      </c>
      <c r="Z23" s="31">
        <f>ROUND(IF(AQ23="5",BJ23,0),2)</f>
        <v>0</v>
      </c>
      <c r="AB23" s="31">
        <f>ROUND(IF(AQ23="1",BH23,0),2)</f>
        <v>0</v>
      </c>
      <c r="AC23" s="31">
        <f>ROUND(IF(AQ23="1",BI23,0),2)</f>
        <v>0</v>
      </c>
      <c r="AD23" s="31">
        <f>ROUND(IF(AQ23="7",BH23,0),2)</f>
        <v>0</v>
      </c>
      <c r="AE23" s="31">
        <f>ROUND(IF(AQ23="7",BI23,0),2)</f>
        <v>0</v>
      </c>
      <c r="AF23" s="31">
        <f>ROUND(IF(AQ23="2",BH23,0),2)</f>
        <v>0</v>
      </c>
      <c r="AG23" s="31">
        <f>ROUND(IF(AQ23="2",BI23,0),2)</f>
        <v>0</v>
      </c>
      <c r="AH23" s="31">
        <f>ROUND(IF(AQ23="0",BJ23,0),2)</f>
        <v>0</v>
      </c>
      <c r="AI23" s="12" t="s">
        <v>54</v>
      </c>
      <c r="AJ23" s="31">
        <f>IF(AN23=0,L23,0)</f>
        <v>0</v>
      </c>
      <c r="AK23" s="31">
        <f>IF(AN23=15,L23,0)</f>
        <v>0</v>
      </c>
      <c r="AL23" s="31">
        <f>IF(AN23=21,L23,0)</f>
        <v>0</v>
      </c>
      <c r="AN23" s="31">
        <v>21</v>
      </c>
      <c r="AO23" s="31">
        <f>H23*0.116117033</f>
        <v>0</v>
      </c>
      <c r="AP23" s="31">
        <f>H23*(1-0.116117033)</f>
        <v>0</v>
      </c>
      <c r="AQ23" s="34" t="s">
        <v>57</v>
      </c>
      <c r="AV23" s="31">
        <f>ROUND(AW23+AX23,2)</f>
        <v>0</v>
      </c>
      <c r="AW23" s="31">
        <f>ROUND(G23*AO23,2)</f>
        <v>0</v>
      </c>
      <c r="AX23" s="31">
        <f>ROUND(G23*AP23,2)</f>
        <v>0</v>
      </c>
      <c r="AY23" s="34" t="s">
        <v>74</v>
      </c>
      <c r="AZ23" s="34" t="s">
        <v>75</v>
      </c>
      <c r="BA23" s="12" t="s">
        <v>64</v>
      </c>
      <c r="BC23" s="31">
        <f>AW23+AX23</f>
        <v>0</v>
      </c>
      <c r="BD23" s="31">
        <f>H23/(100-BE23)*100</f>
        <v>0</v>
      </c>
      <c r="BE23" s="31">
        <v>0</v>
      </c>
      <c r="BF23" s="31">
        <f>O23</f>
        <v>1.4864999999999999</v>
      </c>
      <c r="BH23" s="31">
        <f>G23*AO23</f>
        <v>0</v>
      </c>
      <c r="BI23" s="31">
        <f>G23*AP23</f>
        <v>0</v>
      </c>
      <c r="BJ23" s="31">
        <f>G23*H23</f>
        <v>0</v>
      </c>
      <c r="BK23" s="31"/>
      <c r="BL23" s="31">
        <v>62</v>
      </c>
      <c r="BW23" s="31">
        <f>I23</f>
        <v>21</v>
      </c>
      <c r="BX23" s="5" t="s">
        <v>92</v>
      </c>
    </row>
    <row r="24" spans="1:76" x14ac:dyDescent="0.25">
      <c r="A24" s="35" t="s">
        <v>54</v>
      </c>
      <c r="B24" s="36" t="s">
        <v>54</v>
      </c>
      <c r="C24" s="36" t="s">
        <v>93</v>
      </c>
      <c r="D24" s="208" t="s">
        <v>94</v>
      </c>
      <c r="E24" s="209"/>
      <c r="F24" s="38" t="s">
        <v>4</v>
      </c>
      <c r="G24" s="38" t="s">
        <v>4</v>
      </c>
      <c r="H24" s="110" t="s">
        <v>4</v>
      </c>
      <c r="I24" s="38" t="s">
        <v>4</v>
      </c>
      <c r="J24" s="1">
        <f>SUM(J25:J30)</f>
        <v>0</v>
      </c>
      <c r="K24" s="1">
        <f>SUM(K25:K30)</f>
        <v>0</v>
      </c>
      <c r="L24" s="1">
        <f>SUM(L25:L30)</f>
        <v>0</v>
      </c>
      <c r="M24" s="1">
        <f>SUM(M25:M30)</f>
        <v>0</v>
      </c>
      <c r="N24" s="12" t="s">
        <v>54</v>
      </c>
      <c r="O24" s="1">
        <f>SUM(O25:O30)</f>
        <v>0.66839999999999999</v>
      </c>
      <c r="P24" s="39" t="s">
        <v>54</v>
      </c>
      <c r="AI24" s="12" t="s">
        <v>54</v>
      </c>
      <c r="AS24" s="1">
        <f>SUM(AJ25:AJ30)</f>
        <v>0</v>
      </c>
      <c r="AT24" s="1">
        <f>SUM(AK25:AK30)</f>
        <v>0</v>
      </c>
      <c r="AU24" s="1">
        <f>SUM(AL25:AL30)</f>
        <v>0</v>
      </c>
    </row>
    <row r="25" spans="1:76" x14ac:dyDescent="0.25">
      <c r="A25" s="2" t="s">
        <v>95</v>
      </c>
      <c r="B25" s="3" t="s">
        <v>54</v>
      </c>
      <c r="C25" s="3" t="s">
        <v>96</v>
      </c>
      <c r="D25" s="121" t="s">
        <v>97</v>
      </c>
      <c r="E25" s="122"/>
      <c r="F25" s="3" t="s">
        <v>80</v>
      </c>
      <c r="G25" s="31">
        <v>20</v>
      </c>
      <c r="H25" s="112">
        <v>0</v>
      </c>
      <c r="I25" s="32">
        <v>21</v>
      </c>
      <c r="J25" s="31">
        <f>ROUND(G25*AO25,2)</f>
        <v>0</v>
      </c>
      <c r="K25" s="31">
        <f>ROUND(G25*AP25,2)</f>
        <v>0</v>
      </c>
      <c r="L25" s="31">
        <f>ROUND(G25*H25,2)</f>
        <v>0</v>
      </c>
      <c r="M25" s="31">
        <f>L25*(1+BW25/100)</f>
        <v>0</v>
      </c>
      <c r="N25" s="31">
        <v>3.0000000000000001E-3</v>
      </c>
      <c r="O25" s="31">
        <f>G25*N25</f>
        <v>0.06</v>
      </c>
      <c r="P25" s="33" t="s">
        <v>61</v>
      </c>
      <c r="Z25" s="31">
        <f>ROUND(IF(AQ25="5",BJ25,0),2)</f>
        <v>0</v>
      </c>
      <c r="AB25" s="31">
        <f>ROUND(IF(AQ25="1",BH25,0),2)</f>
        <v>0</v>
      </c>
      <c r="AC25" s="31">
        <f>ROUND(IF(AQ25="1",BI25,0),2)</f>
        <v>0</v>
      </c>
      <c r="AD25" s="31">
        <f>ROUND(IF(AQ25="7",BH25,0),2)</f>
        <v>0</v>
      </c>
      <c r="AE25" s="31">
        <f>ROUND(IF(AQ25="7",BI25,0),2)</f>
        <v>0</v>
      </c>
      <c r="AF25" s="31">
        <f>ROUND(IF(AQ25="2",BH25,0),2)</f>
        <v>0</v>
      </c>
      <c r="AG25" s="31">
        <f>ROUND(IF(AQ25="2",BI25,0),2)</f>
        <v>0</v>
      </c>
      <c r="AH25" s="31">
        <f>ROUND(IF(AQ25="0",BJ25,0),2)</f>
        <v>0</v>
      </c>
      <c r="AI25" s="12" t="s">
        <v>54</v>
      </c>
      <c r="AJ25" s="31">
        <f>IF(AN25=0,L25,0)</f>
        <v>0</v>
      </c>
      <c r="AK25" s="31">
        <f>IF(AN25=15,L25,0)</f>
        <v>0</v>
      </c>
      <c r="AL25" s="31">
        <f>IF(AN25=21,L25,0)</f>
        <v>0</v>
      </c>
      <c r="AN25" s="31">
        <v>21</v>
      </c>
      <c r="AO25" s="31">
        <f>H25*0.945870242</f>
        <v>0</v>
      </c>
      <c r="AP25" s="31">
        <f>H25*(1-0.945870242)</f>
        <v>0</v>
      </c>
      <c r="AQ25" s="34" t="s">
        <v>57</v>
      </c>
      <c r="AV25" s="31">
        <f>ROUND(AW25+AX25,2)</f>
        <v>0</v>
      </c>
      <c r="AW25" s="31">
        <f>ROUND(G25*AO25,2)</f>
        <v>0</v>
      </c>
      <c r="AX25" s="31">
        <f>ROUND(G25*AP25,2)</f>
        <v>0</v>
      </c>
      <c r="AY25" s="34" t="s">
        <v>98</v>
      </c>
      <c r="AZ25" s="34" t="s">
        <v>75</v>
      </c>
      <c r="BA25" s="12" t="s">
        <v>64</v>
      </c>
      <c r="BC25" s="31">
        <f>AW25+AX25</f>
        <v>0</v>
      </c>
      <c r="BD25" s="31">
        <f>H25/(100-BE25)*100</f>
        <v>0</v>
      </c>
      <c r="BE25" s="31">
        <v>0</v>
      </c>
      <c r="BF25" s="31">
        <f>O25</f>
        <v>0.06</v>
      </c>
      <c r="BH25" s="31">
        <f>G25*AO25</f>
        <v>0</v>
      </c>
      <c r="BI25" s="31">
        <f>G25*AP25</f>
        <v>0</v>
      </c>
      <c r="BJ25" s="31">
        <f>G25*H25</f>
        <v>0</v>
      </c>
      <c r="BK25" s="31"/>
      <c r="BL25" s="31">
        <v>63</v>
      </c>
      <c r="BW25" s="31">
        <f>I25</f>
        <v>21</v>
      </c>
      <c r="BX25" s="5" t="s">
        <v>97</v>
      </c>
    </row>
    <row r="26" spans="1:76" x14ac:dyDescent="0.25">
      <c r="A26" s="2" t="s">
        <v>99</v>
      </c>
      <c r="B26" s="3" t="s">
        <v>54</v>
      </c>
      <c r="C26" s="3" t="s">
        <v>100</v>
      </c>
      <c r="D26" s="121" t="s">
        <v>101</v>
      </c>
      <c r="E26" s="122"/>
      <c r="F26" s="3" t="s">
        <v>73</v>
      </c>
      <c r="G26" s="31">
        <v>60</v>
      </c>
      <c r="H26" s="112">
        <v>0</v>
      </c>
      <c r="I26" s="32">
        <v>21</v>
      </c>
      <c r="J26" s="31">
        <f>ROUND(G26*AO26,2)</f>
        <v>0</v>
      </c>
      <c r="K26" s="31">
        <f>ROUND(G26*AP26,2)</f>
        <v>0</v>
      </c>
      <c r="L26" s="31">
        <f>ROUND(G26*H26,2)</f>
        <v>0</v>
      </c>
      <c r="M26" s="31">
        <f>L26*(1+BW26/100)</f>
        <v>0</v>
      </c>
      <c r="N26" s="31">
        <v>2.7899999999999999E-3</v>
      </c>
      <c r="O26" s="31">
        <f>G26*N26</f>
        <v>0.16739999999999999</v>
      </c>
      <c r="P26" s="33" t="s">
        <v>61</v>
      </c>
      <c r="Z26" s="31">
        <f>ROUND(IF(AQ26="5",BJ26,0),2)</f>
        <v>0</v>
      </c>
      <c r="AB26" s="31">
        <f>ROUND(IF(AQ26="1",BH26,0),2)</f>
        <v>0</v>
      </c>
      <c r="AC26" s="31">
        <f>ROUND(IF(AQ26="1",BI26,0),2)</f>
        <v>0</v>
      </c>
      <c r="AD26" s="31">
        <f>ROUND(IF(AQ26="7",BH26,0),2)</f>
        <v>0</v>
      </c>
      <c r="AE26" s="31">
        <f>ROUND(IF(AQ26="7",BI26,0),2)</f>
        <v>0</v>
      </c>
      <c r="AF26" s="31">
        <f>ROUND(IF(AQ26="2",BH26,0),2)</f>
        <v>0</v>
      </c>
      <c r="AG26" s="31">
        <f>ROUND(IF(AQ26="2",BI26,0),2)</f>
        <v>0</v>
      </c>
      <c r="AH26" s="31">
        <f>ROUND(IF(AQ26="0",BJ26,0),2)</f>
        <v>0</v>
      </c>
      <c r="AI26" s="12" t="s">
        <v>54</v>
      </c>
      <c r="AJ26" s="31">
        <f>IF(AN26=0,L26,0)</f>
        <v>0</v>
      </c>
      <c r="AK26" s="31">
        <f>IF(AN26=15,L26,0)</f>
        <v>0</v>
      </c>
      <c r="AL26" s="31">
        <f>IF(AN26=21,L26,0)</f>
        <v>0</v>
      </c>
      <c r="AN26" s="31">
        <v>21</v>
      </c>
      <c r="AO26" s="31">
        <f>H26*0.148487805</f>
        <v>0</v>
      </c>
      <c r="AP26" s="31">
        <f>H26*(1-0.148487805)</f>
        <v>0</v>
      </c>
      <c r="AQ26" s="34" t="s">
        <v>57</v>
      </c>
      <c r="AV26" s="31">
        <f>ROUND(AW26+AX26,2)</f>
        <v>0</v>
      </c>
      <c r="AW26" s="31">
        <f>ROUND(G26*AO26,2)</f>
        <v>0</v>
      </c>
      <c r="AX26" s="31">
        <f>ROUND(G26*AP26,2)</f>
        <v>0</v>
      </c>
      <c r="AY26" s="34" t="s">
        <v>98</v>
      </c>
      <c r="AZ26" s="34" t="s">
        <v>75</v>
      </c>
      <c r="BA26" s="12" t="s">
        <v>64</v>
      </c>
      <c r="BC26" s="31">
        <f>AW26+AX26</f>
        <v>0</v>
      </c>
      <c r="BD26" s="31">
        <f>H26/(100-BE26)*100</f>
        <v>0</v>
      </c>
      <c r="BE26" s="31">
        <v>0</v>
      </c>
      <c r="BF26" s="31">
        <f>O26</f>
        <v>0.16739999999999999</v>
      </c>
      <c r="BH26" s="31">
        <f>G26*AO26</f>
        <v>0</v>
      </c>
      <c r="BI26" s="31">
        <f>G26*AP26</f>
        <v>0</v>
      </c>
      <c r="BJ26" s="31">
        <f>G26*H26</f>
        <v>0</v>
      </c>
      <c r="BK26" s="31"/>
      <c r="BL26" s="31">
        <v>63</v>
      </c>
      <c r="BW26" s="31">
        <f>I26</f>
        <v>21</v>
      </c>
      <c r="BX26" s="5" t="s">
        <v>101</v>
      </c>
    </row>
    <row r="27" spans="1:76" x14ac:dyDescent="0.25">
      <c r="A27" s="40"/>
      <c r="C27" s="41"/>
      <c r="D27" s="207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6"/>
      <c r="BX27" s="42"/>
    </row>
    <row r="28" spans="1:76" x14ac:dyDescent="0.25">
      <c r="A28" s="2" t="s">
        <v>102</v>
      </c>
      <c r="B28" s="3" t="s">
        <v>54</v>
      </c>
      <c r="C28" s="3" t="s">
        <v>103</v>
      </c>
      <c r="D28" s="121" t="s">
        <v>104</v>
      </c>
      <c r="E28" s="122"/>
      <c r="F28" s="3" t="s">
        <v>73</v>
      </c>
      <c r="G28" s="31">
        <v>60</v>
      </c>
      <c r="H28" s="112">
        <v>0</v>
      </c>
      <c r="I28" s="32">
        <v>21</v>
      </c>
      <c r="J28" s="31">
        <f>ROUND(G28*AO28,2)</f>
        <v>0</v>
      </c>
      <c r="K28" s="31">
        <f>ROUND(G28*AP28,2)</f>
        <v>0</v>
      </c>
      <c r="L28" s="31">
        <f>ROUND(G28*H28,2)</f>
        <v>0</v>
      </c>
      <c r="M28" s="31">
        <f>L28*(1+BW28/100)</f>
        <v>0</v>
      </c>
      <c r="N28" s="31">
        <v>0</v>
      </c>
      <c r="O28" s="31">
        <f>G28*N28</f>
        <v>0</v>
      </c>
      <c r="P28" s="33" t="s">
        <v>61</v>
      </c>
      <c r="Z28" s="31">
        <f>ROUND(IF(AQ28="5",BJ28,0),2)</f>
        <v>0</v>
      </c>
      <c r="AB28" s="31">
        <f>ROUND(IF(AQ28="1",BH28,0),2)</f>
        <v>0</v>
      </c>
      <c r="AC28" s="31">
        <f>ROUND(IF(AQ28="1",BI28,0),2)</f>
        <v>0</v>
      </c>
      <c r="AD28" s="31">
        <f>ROUND(IF(AQ28="7",BH28,0),2)</f>
        <v>0</v>
      </c>
      <c r="AE28" s="31">
        <f>ROUND(IF(AQ28="7",BI28,0),2)</f>
        <v>0</v>
      </c>
      <c r="AF28" s="31">
        <f>ROUND(IF(AQ28="2",BH28,0),2)</f>
        <v>0</v>
      </c>
      <c r="AG28" s="31">
        <f>ROUND(IF(AQ28="2",BI28,0),2)</f>
        <v>0</v>
      </c>
      <c r="AH28" s="31">
        <f>ROUND(IF(AQ28="0",BJ28,0),2)</f>
        <v>0</v>
      </c>
      <c r="AI28" s="12" t="s">
        <v>54</v>
      </c>
      <c r="AJ28" s="31">
        <f>IF(AN28=0,L28,0)</f>
        <v>0</v>
      </c>
      <c r="AK28" s="31">
        <f>IF(AN28=15,L28,0)</f>
        <v>0</v>
      </c>
      <c r="AL28" s="31">
        <f>IF(AN28=21,L28,0)</f>
        <v>0</v>
      </c>
      <c r="AN28" s="31">
        <v>21</v>
      </c>
      <c r="AO28" s="31">
        <f>H28*0.352318306</f>
        <v>0</v>
      </c>
      <c r="AP28" s="31">
        <f>H28*(1-0.352318306)</f>
        <v>0</v>
      </c>
      <c r="AQ28" s="34" t="s">
        <v>57</v>
      </c>
      <c r="AV28" s="31">
        <f>ROUND(AW28+AX28,2)</f>
        <v>0</v>
      </c>
      <c r="AW28" s="31">
        <f>ROUND(G28*AO28,2)</f>
        <v>0</v>
      </c>
      <c r="AX28" s="31">
        <f>ROUND(G28*AP28,2)</f>
        <v>0</v>
      </c>
      <c r="AY28" s="34" t="s">
        <v>98</v>
      </c>
      <c r="AZ28" s="34" t="s">
        <v>75</v>
      </c>
      <c r="BA28" s="12" t="s">
        <v>64</v>
      </c>
      <c r="BC28" s="31">
        <f>AW28+AX28</f>
        <v>0</v>
      </c>
      <c r="BD28" s="31">
        <f>H28/(100-BE28)*100</f>
        <v>0</v>
      </c>
      <c r="BE28" s="31">
        <v>0</v>
      </c>
      <c r="BF28" s="31">
        <f>O28</f>
        <v>0</v>
      </c>
      <c r="BH28" s="31">
        <f>G28*AO28</f>
        <v>0</v>
      </c>
      <c r="BI28" s="31">
        <f>G28*AP28</f>
        <v>0</v>
      </c>
      <c r="BJ28" s="31">
        <f>G28*H28</f>
        <v>0</v>
      </c>
      <c r="BK28" s="31"/>
      <c r="BL28" s="31">
        <v>63</v>
      </c>
      <c r="BW28" s="31">
        <f>I28</f>
        <v>21</v>
      </c>
      <c r="BX28" s="5" t="s">
        <v>104</v>
      </c>
    </row>
    <row r="29" spans="1:76" x14ac:dyDescent="0.25">
      <c r="A29" s="2" t="s">
        <v>105</v>
      </c>
      <c r="B29" s="3" t="s">
        <v>54</v>
      </c>
      <c r="C29" s="3" t="s">
        <v>106</v>
      </c>
      <c r="D29" s="121" t="s">
        <v>107</v>
      </c>
      <c r="E29" s="122"/>
      <c r="F29" s="3" t="s">
        <v>73</v>
      </c>
      <c r="G29" s="31">
        <v>60</v>
      </c>
      <c r="H29" s="112">
        <v>0</v>
      </c>
      <c r="I29" s="32">
        <v>21</v>
      </c>
      <c r="J29" s="31">
        <f>ROUND(G29*AO29,2)</f>
        <v>0</v>
      </c>
      <c r="K29" s="31">
        <f>ROUND(G29*AP29,2)</f>
        <v>0</v>
      </c>
      <c r="L29" s="31">
        <f>ROUND(G29*H29,2)</f>
        <v>0</v>
      </c>
      <c r="M29" s="31">
        <f>L29*(1+BW29/100)</f>
        <v>0</v>
      </c>
      <c r="N29" s="31">
        <v>0</v>
      </c>
      <c r="O29" s="31">
        <f>G29*N29</f>
        <v>0</v>
      </c>
      <c r="P29" s="33" t="s">
        <v>61</v>
      </c>
      <c r="Z29" s="31">
        <f>ROUND(IF(AQ29="5",BJ29,0),2)</f>
        <v>0</v>
      </c>
      <c r="AB29" s="31">
        <f>ROUND(IF(AQ29="1",BH29,0),2)</f>
        <v>0</v>
      </c>
      <c r="AC29" s="31">
        <f>ROUND(IF(AQ29="1",BI29,0),2)</f>
        <v>0</v>
      </c>
      <c r="AD29" s="31">
        <f>ROUND(IF(AQ29="7",BH29,0),2)</f>
        <v>0</v>
      </c>
      <c r="AE29" s="31">
        <f>ROUND(IF(AQ29="7",BI29,0),2)</f>
        <v>0</v>
      </c>
      <c r="AF29" s="31">
        <f>ROUND(IF(AQ29="2",BH29,0),2)</f>
        <v>0</v>
      </c>
      <c r="AG29" s="31">
        <f>ROUND(IF(AQ29="2",BI29,0),2)</f>
        <v>0</v>
      </c>
      <c r="AH29" s="31">
        <f>ROUND(IF(AQ29="0",BJ29,0),2)</f>
        <v>0</v>
      </c>
      <c r="AI29" s="12" t="s">
        <v>54</v>
      </c>
      <c r="AJ29" s="31">
        <f>IF(AN29=0,L29,0)</f>
        <v>0</v>
      </c>
      <c r="AK29" s="31">
        <f>IF(AN29=15,L29,0)</f>
        <v>0</v>
      </c>
      <c r="AL29" s="31">
        <f>IF(AN29=21,L29,0)</f>
        <v>0</v>
      </c>
      <c r="AN29" s="31">
        <v>21</v>
      </c>
      <c r="AO29" s="31">
        <f>H29*0</f>
        <v>0</v>
      </c>
      <c r="AP29" s="31">
        <f>H29*(1-0)</f>
        <v>0</v>
      </c>
      <c r="AQ29" s="34" t="s">
        <v>57</v>
      </c>
      <c r="AV29" s="31">
        <f>ROUND(AW29+AX29,2)</f>
        <v>0</v>
      </c>
      <c r="AW29" s="31">
        <f>ROUND(G29*AO29,2)</f>
        <v>0</v>
      </c>
      <c r="AX29" s="31">
        <f>ROUND(G29*AP29,2)</f>
        <v>0</v>
      </c>
      <c r="AY29" s="34" t="s">
        <v>98</v>
      </c>
      <c r="AZ29" s="34" t="s">
        <v>75</v>
      </c>
      <c r="BA29" s="12" t="s">
        <v>64</v>
      </c>
      <c r="BC29" s="31">
        <f>AW29+AX29</f>
        <v>0</v>
      </c>
      <c r="BD29" s="31">
        <f>H29/(100-BE29)*100</f>
        <v>0</v>
      </c>
      <c r="BE29" s="31">
        <v>0</v>
      </c>
      <c r="BF29" s="31">
        <f>O29</f>
        <v>0</v>
      </c>
      <c r="BH29" s="31">
        <f>G29*AO29</f>
        <v>0</v>
      </c>
      <c r="BI29" s="31">
        <f>G29*AP29</f>
        <v>0</v>
      </c>
      <c r="BJ29" s="31">
        <f>G29*H29</f>
        <v>0</v>
      </c>
      <c r="BK29" s="31"/>
      <c r="BL29" s="31">
        <v>63</v>
      </c>
      <c r="BW29" s="31">
        <f>I29</f>
        <v>21</v>
      </c>
      <c r="BX29" s="5" t="s">
        <v>107</v>
      </c>
    </row>
    <row r="30" spans="1:76" x14ac:dyDescent="0.25">
      <c r="A30" s="2" t="s">
        <v>55</v>
      </c>
      <c r="B30" s="3" t="s">
        <v>54</v>
      </c>
      <c r="C30" s="3" t="s">
        <v>108</v>
      </c>
      <c r="D30" s="121" t="s">
        <v>109</v>
      </c>
      <c r="E30" s="122"/>
      <c r="F30" s="3" t="s">
        <v>73</v>
      </c>
      <c r="G30" s="31">
        <v>35</v>
      </c>
      <c r="H30" s="112">
        <v>0</v>
      </c>
      <c r="I30" s="32">
        <v>21</v>
      </c>
      <c r="J30" s="31">
        <f>ROUND(G30*AO30,2)</f>
        <v>0</v>
      </c>
      <c r="K30" s="31">
        <f>ROUND(G30*AP30,2)</f>
        <v>0</v>
      </c>
      <c r="L30" s="31">
        <f>ROUND(G30*H30,2)</f>
        <v>0</v>
      </c>
      <c r="M30" s="31">
        <f>L30*(1+BW30/100)</f>
        <v>0</v>
      </c>
      <c r="N30" s="31">
        <v>1.26E-2</v>
      </c>
      <c r="O30" s="31">
        <f>G30*N30</f>
        <v>0.441</v>
      </c>
      <c r="P30" s="33" t="s">
        <v>61</v>
      </c>
      <c r="Z30" s="31">
        <f>ROUND(IF(AQ30="5",BJ30,0),2)</f>
        <v>0</v>
      </c>
      <c r="AB30" s="31">
        <f>ROUND(IF(AQ30="1",BH30,0),2)</f>
        <v>0</v>
      </c>
      <c r="AC30" s="31">
        <f>ROUND(IF(AQ30="1",BI30,0),2)</f>
        <v>0</v>
      </c>
      <c r="AD30" s="31">
        <f>ROUND(IF(AQ30="7",BH30,0),2)</f>
        <v>0</v>
      </c>
      <c r="AE30" s="31">
        <f>ROUND(IF(AQ30="7",BI30,0),2)</f>
        <v>0</v>
      </c>
      <c r="AF30" s="31">
        <f>ROUND(IF(AQ30="2",BH30,0),2)</f>
        <v>0</v>
      </c>
      <c r="AG30" s="31">
        <f>ROUND(IF(AQ30="2",BI30,0),2)</f>
        <v>0</v>
      </c>
      <c r="AH30" s="31">
        <f>ROUND(IF(AQ30="0",BJ30,0),2)</f>
        <v>0</v>
      </c>
      <c r="AI30" s="12" t="s">
        <v>54</v>
      </c>
      <c r="AJ30" s="31">
        <f>IF(AN30=0,L30,0)</f>
        <v>0</v>
      </c>
      <c r="AK30" s="31">
        <f>IF(AN30=15,L30,0)</f>
        <v>0</v>
      </c>
      <c r="AL30" s="31">
        <f>IF(AN30=21,L30,0)</f>
        <v>0</v>
      </c>
      <c r="AN30" s="31">
        <v>21</v>
      </c>
      <c r="AO30" s="31">
        <f>H30*0</f>
        <v>0</v>
      </c>
      <c r="AP30" s="31">
        <f>H30*(1-0)</f>
        <v>0</v>
      </c>
      <c r="AQ30" s="34" t="s">
        <v>57</v>
      </c>
      <c r="AV30" s="31">
        <f>ROUND(AW30+AX30,2)</f>
        <v>0</v>
      </c>
      <c r="AW30" s="31">
        <f>ROUND(G30*AO30,2)</f>
        <v>0</v>
      </c>
      <c r="AX30" s="31">
        <f>ROUND(G30*AP30,2)</f>
        <v>0</v>
      </c>
      <c r="AY30" s="34" t="s">
        <v>98</v>
      </c>
      <c r="AZ30" s="34" t="s">
        <v>75</v>
      </c>
      <c r="BA30" s="12" t="s">
        <v>64</v>
      </c>
      <c r="BC30" s="31">
        <f>AW30+AX30</f>
        <v>0</v>
      </c>
      <c r="BD30" s="31">
        <f>H30/(100-BE30)*100</f>
        <v>0</v>
      </c>
      <c r="BE30" s="31">
        <v>0</v>
      </c>
      <c r="BF30" s="31">
        <f>O30</f>
        <v>0.441</v>
      </c>
      <c r="BH30" s="31">
        <f>G30*AO30</f>
        <v>0</v>
      </c>
      <c r="BI30" s="31">
        <f>G30*AP30</f>
        <v>0</v>
      </c>
      <c r="BJ30" s="31">
        <f>G30*H30</f>
        <v>0</v>
      </c>
      <c r="BK30" s="31"/>
      <c r="BL30" s="31">
        <v>63</v>
      </c>
      <c r="BW30" s="31">
        <f>I30</f>
        <v>21</v>
      </c>
      <c r="BX30" s="5" t="s">
        <v>109</v>
      </c>
    </row>
    <row r="31" spans="1:76" x14ac:dyDescent="0.25">
      <c r="A31" s="40"/>
      <c r="C31" s="41"/>
      <c r="D31" s="207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6"/>
      <c r="BX31" s="42"/>
    </row>
    <row r="32" spans="1:76" x14ac:dyDescent="0.25">
      <c r="A32" s="35" t="s">
        <v>54</v>
      </c>
      <c r="B32" s="36" t="s">
        <v>54</v>
      </c>
      <c r="C32" s="36" t="s">
        <v>110</v>
      </c>
      <c r="D32" s="208" t="s">
        <v>111</v>
      </c>
      <c r="E32" s="209"/>
      <c r="F32" s="38" t="s">
        <v>4</v>
      </c>
      <c r="G32" s="38" t="s">
        <v>4</v>
      </c>
      <c r="H32" s="110" t="s">
        <v>4</v>
      </c>
      <c r="I32" s="38" t="s">
        <v>4</v>
      </c>
      <c r="J32" s="1">
        <f>SUM(J33:J42)</f>
        <v>0</v>
      </c>
      <c r="K32" s="1">
        <f>SUM(K33:K42)</f>
        <v>0</v>
      </c>
      <c r="L32" s="1">
        <f>SUM(L33:L42)</f>
        <v>0</v>
      </c>
      <c r="M32" s="1">
        <f>SUM(M33:M42)</f>
        <v>0</v>
      </c>
      <c r="N32" s="12" t="s">
        <v>54</v>
      </c>
      <c r="O32" s="1">
        <f>SUM(O33:O42)</f>
        <v>0.29314999999999997</v>
      </c>
      <c r="P32" s="39" t="s">
        <v>54</v>
      </c>
      <c r="AI32" s="12" t="s">
        <v>54</v>
      </c>
      <c r="AS32" s="1">
        <f>SUM(AJ33:AJ42)</f>
        <v>0</v>
      </c>
      <c r="AT32" s="1">
        <f>SUM(AK33:AK42)</f>
        <v>0</v>
      </c>
      <c r="AU32" s="1">
        <f>SUM(AL33:AL42)</f>
        <v>0</v>
      </c>
    </row>
    <row r="33" spans="1:76" x14ac:dyDescent="0.25">
      <c r="A33" s="2" t="s">
        <v>112</v>
      </c>
      <c r="B33" s="3" t="s">
        <v>54</v>
      </c>
      <c r="C33" s="3" t="s">
        <v>113</v>
      </c>
      <c r="D33" s="121" t="s">
        <v>114</v>
      </c>
      <c r="E33" s="122"/>
      <c r="F33" s="3" t="s">
        <v>73</v>
      </c>
      <c r="G33" s="31">
        <v>35</v>
      </c>
      <c r="H33" s="112">
        <v>0</v>
      </c>
      <c r="I33" s="32">
        <v>21</v>
      </c>
      <c r="J33" s="31">
        <f>ROUND(G33*AO33,2)</f>
        <v>0</v>
      </c>
      <c r="K33" s="31">
        <f>ROUND(G33*AP33,2)</f>
        <v>0</v>
      </c>
      <c r="L33" s="31">
        <f>ROUND(G33*H33,2)</f>
        <v>0</v>
      </c>
      <c r="M33" s="31">
        <f>L33*(1+BW33/100)</f>
        <v>0</v>
      </c>
      <c r="N33" s="31">
        <v>7.2000000000000005E-4</v>
      </c>
      <c r="O33" s="31">
        <f>G33*N33</f>
        <v>2.52E-2</v>
      </c>
      <c r="P33" s="33" t="s">
        <v>61</v>
      </c>
      <c r="Z33" s="31">
        <f>ROUND(IF(AQ33="5",BJ33,0),2)</f>
        <v>0</v>
      </c>
      <c r="AB33" s="31">
        <f>ROUND(IF(AQ33="1",BH33,0),2)</f>
        <v>0</v>
      </c>
      <c r="AC33" s="31">
        <f>ROUND(IF(AQ33="1",BI33,0),2)</f>
        <v>0</v>
      </c>
      <c r="AD33" s="31">
        <f>ROUND(IF(AQ33="7",BH33,0),2)</f>
        <v>0</v>
      </c>
      <c r="AE33" s="31">
        <f>ROUND(IF(AQ33="7",BI33,0),2)</f>
        <v>0</v>
      </c>
      <c r="AF33" s="31">
        <f>ROUND(IF(AQ33="2",BH33,0),2)</f>
        <v>0</v>
      </c>
      <c r="AG33" s="31">
        <f>ROUND(IF(AQ33="2",BI33,0),2)</f>
        <v>0</v>
      </c>
      <c r="AH33" s="31">
        <f>ROUND(IF(AQ33="0",BJ33,0),2)</f>
        <v>0</v>
      </c>
      <c r="AI33" s="12" t="s">
        <v>54</v>
      </c>
      <c r="AJ33" s="31">
        <f>IF(AN33=0,L33,0)</f>
        <v>0</v>
      </c>
      <c r="AK33" s="31">
        <f>IF(AN33=15,L33,0)</f>
        <v>0</v>
      </c>
      <c r="AL33" s="31">
        <f>IF(AN33=21,L33,0)</f>
        <v>0</v>
      </c>
      <c r="AN33" s="31">
        <v>21</v>
      </c>
      <c r="AO33" s="31">
        <f>H33*0.815054545</f>
        <v>0</v>
      </c>
      <c r="AP33" s="31">
        <f>H33*(1-0.815054545)</f>
        <v>0</v>
      </c>
      <c r="AQ33" s="34" t="s">
        <v>87</v>
      </c>
      <c r="AV33" s="31">
        <f>ROUND(AW33+AX33,2)</f>
        <v>0</v>
      </c>
      <c r="AW33" s="31">
        <f>ROUND(G33*AO33,2)</f>
        <v>0</v>
      </c>
      <c r="AX33" s="31">
        <f>ROUND(G33*AP33,2)</f>
        <v>0</v>
      </c>
      <c r="AY33" s="34" t="s">
        <v>115</v>
      </c>
      <c r="AZ33" s="34" t="s">
        <v>116</v>
      </c>
      <c r="BA33" s="12" t="s">
        <v>64</v>
      </c>
      <c r="BC33" s="31">
        <f>AW33+AX33</f>
        <v>0</v>
      </c>
      <c r="BD33" s="31">
        <f>H33/(100-BE33)*100</f>
        <v>0</v>
      </c>
      <c r="BE33" s="31">
        <v>0</v>
      </c>
      <c r="BF33" s="31">
        <f>O33</f>
        <v>2.52E-2</v>
      </c>
      <c r="BH33" s="31">
        <f>G33*AO33</f>
        <v>0</v>
      </c>
      <c r="BI33" s="31">
        <f>G33*AP33</f>
        <v>0</v>
      </c>
      <c r="BJ33" s="31">
        <f>G33*H33</f>
        <v>0</v>
      </c>
      <c r="BK33" s="31"/>
      <c r="BL33" s="31">
        <v>777</v>
      </c>
      <c r="BW33" s="31">
        <f>I33</f>
        <v>21</v>
      </c>
      <c r="BX33" s="5" t="s">
        <v>114</v>
      </c>
    </row>
    <row r="34" spans="1:76" ht="29.25" customHeight="1" x14ac:dyDescent="0.25">
      <c r="A34" s="115" t="s">
        <v>117</v>
      </c>
      <c r="B34" s="116" t="s">
        <v>54</v>
      </c>
      <c r="C34" s="116" t="s">
        <v>118</v>
      </c>
      <c r="D34" s="212" t="s">
        <v>119</v>
      </c>
      <c r="E34" s="213"/>
      <c r="F34" s="116" t="s">
        <v>120</v>
      </c>
      <c r="G34" s="117">
        <v>60</v>
      </c>
      <c r="H34" s="118">
        <v>0</v>
      </c>
      <c r="I34" s="119">
        <v>21</v>
      </c>
      <c r="J34" s="117">
        <f>ROUND(G34*AO34,2)</f>
        <v>0</v>
      </c>
      <c r="K34" s="117">
        <f>ROUND(G34*AP34,2)</f>
        <v>0</v>
      </c>
      <c r="L34" s="117">
        <f>ROUND(G34*H34,2)</f>
        <v>0</v>
      </c>
      <c r="M34" s="117">
        <f>L34*(1+BW34/100)</f>
        <v>0</v>
      </c>
      <c r="N34" s="117">
        <v>1E-3</v>
      </c>
      <c r="O34" s="117">
        <f>G34*N34</f>
        <v>0.06</v>
      </c>
      <c r="P34" s="120" t="s">
        <v>121</v>
      </c>
      <c r="Z34" s="31">
        <f>ROUND(IF(AQ34="5",BJ34,0),2)</f>
        <v>0</v>
      </c>
      <c r="AB34" s="31">
        <f>ROUND(IF(AQ34="1",BH34,0),2)</f>
        <v>0</v>
      </c>
      <c r="AC34" s="31">
        <f>ROUND(IF(AQ34="1",BI34,0),2)</f>
        <v>0</v>
      </c>
      <c r="AD34" s="31">
        <f>ROUND(IF(AQ34="7",BH34,0),2)</f>
        <v>0</v>
      </c>
      <c r="AE34" s="31">
        <f>ROUND(IF(AQ34="7",BI34,0),2)</f>
        <v>0</v>
      </c>
      <c r="AF34" s="31">
        <f>ROUND(IF(AQ34="2",BH34,0),2)</f>
        <v>0</v>
      </c>
      <c r="AG34" s="31">
        <f>ROUND(IF(AQ34="2",BI34,0),2)</f>
        <v>0</v>
      </c>
      <c r="AH34" s="31">
        <f>ROUND(IF(AQ34="0",BJ34,0),2)</f>
        <v>0</v>
      </c>
      <c r="AI34" s="12" t="s">
        <v>54</v>
      </c>
      <c r="AJ34" s="31">
        <f>IF(AN34=0,L34,0)</f>
        <v>0</v>
      </c>
      <c r="AK34" s="31">
        <f>IF(AN34=15,L34,0)</f>
        <v>0</v>
      </c>
      <c r="AL34" s="31">
        <f>IF(AN34=21,L34,0)</f>
        <v>0</v>
      </c>
      <c r="AN34" s="31">
        <v>21</v>
      </c>
      <c r="AO34" s="31">
        <f>H34*1</f>
        <v>0</v>
      </c>
      <c r="AP34" s="31">
        <f>H34*(1-1)</f>
        <v>0</v>
      </c>
      <c r="AQ34" s="34" t="s">
        <v>87</v>
      </c>
      <c r="AV34" s="31">
        <f>ROUND(AW34+AX34,2)</f>
        <v>0</v>
      </c>
      <c r="AW34" s="31">
        <f>ROUND(G34*AO34,2)</f>
        <v>0</v>
      </c>
      <c r="AX34" s="31">
        <f>ROUND(G34*AP34,2)</f>
        <v>0</v>
      </c>
      <c r="AY34" s="34" t="s">
        <v>115</v>
      </c>
      <c r="AZ34" s="34" t="s">
        <v>116</v>
      </c>
      <c r="BA34" s="12" t="s">
        <v>64</v>
      </c>
      <c r="BC34" s="31">
        <f>AW34+AX34</f>
        <v>0</v>
      </c>
      <c r="BD34" s="31">
        <f>H34/(100-BE34)*100</f>
        <v>0</v>
      </c>
      <c r="BE34" s="31">
        <v>0</v>
      </c>
      <c r="BF34" s="31">
        <f>O34</f>
        <v>0.06</v>
      </c>
      <c r="BH34" s="31">
        <f>G34*AO34</f>
        <v>0</v>
      </c>
      <c r="BI34" s="31">
        <f>G34*AP34</f>
        <v>0</v>
      </c>
      <c r="BJ34" s="31">
        <f>G34*H34</f>
        <v>0</v>
      </c>
      <c r="BK34" s="31"/>
      <c r="BL34" s="31">
        <v>777</v>
      </c>
      <c r="BW34" s="31">
        <f>I34</f>
        <v>21</v>
      </c>
      <c r="BX34" s="5" t="s">
        <v>119</v>
      </c>
    </row>
    <row r="35" spans="1:76" x14ac:dyDescent="0.25">
      <c r="A35" s="40"/>
      <c r="C35" s="41" t="s">
        <v>76</v>
      </c>
      <c r="D35" s="207" t="s">
        <v>122</v>
      </c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6"/>
      <c r="BX35" s="42" t="s">
        <v>122</v>
      </c>
    </row>
    <row r="36" spans="1:76" x14ac:dyDescent="0.25">
      <c r="A36" s="2" t="s">
        <v>123</v>
      </c>
      <c r="B36" s="3" t="s">
        <v>54</v>
      </c>
      <c r="C36" s="3" t="s">
        <v>124</v>
      </c>
      <c r="D36" s="121" t="s">
        <v>125</v>
      </c>
      <c r="E36" s="122"/>
      <c r="F36" s="3" t="s">
        <v>73</v>
      </c>
      <c r="G36" s="31">
        <v>35</v>
      </c>
      <c r="H36" s="112">
        <v>0</v>
      </c>
      <c r="I36" s="32">
        <v>21</v>
      </c>
      <c r="J36" s="31">
        <f>ROUND(G36*AO36,2)</f>
        <v>0</v>
      </c>
      <c r="K36" s="31">
        <f>ROUND(G36*AP36,2)</f>
        <v>0</v>
      </c>
      <c r="L36" s="31">
        <f>ROUND(G36*H36,2)</f>
        <v>0</v>
      </c>
      <c r="M36" s="31">
        <f>L36*(1+BW36/100)</f>
        <v>0</v>
      </c>
      <c r="N36" s="31">
        <v>1.3500000000000001E-3</v>
      </c>
      <c r="O36" s="31">
        <f>G36*N36</f>
        <v>4.725E-2</v>
      </c>
      <c r="P36" s="33" t="s">
        <v>61</v>
      </c>
      <c r="Z36" s="31">
        <f>ROUND(IF(AQ36="5",BJ36,0),2)</f>
        <v>0</v>
      </c>
      <c r="AB36" s="31">
        <f>ROUND(IF(AQ36="1",BH36,0),2)</f>
        <v>0</v>
      </c>
      <c r="AC36" s="31">
        <f>ROUND(IF(AQ36="1",BI36,0),2)</f>
        <v>0</v>
      </c>
      <c r="AD36" s="31">
        <f>ROUND(IF(AQ36="7",BH36,0),2)</f>
        <v>0</v>
      </c>
      <c r="AE36" s="31">
        <f>ROUND(IF(AQ36="7",BI36,0),2)</f>
        <v>0</v>
      </c>
      <c r="AF36" s="31">
        <f>ROUND(IF(AQ36="2",BH36,0),2)</f>
        <v>0</v>
      </c>
      <c r="AG36" s="31">
        <f>ROUND(IF(AQ36="2",BI36,0),2)</f>
        <v>0</v>
      </c>
      <c r="AH36" s="31">
        <f>ROUND(IF(AQ36="0",BJ36,0),2)</f>
        <v>0</v>
      </c>
      <c r="AI36" s="12" t="s">
        <v>54</v>
      </c>
      <c r="AJ36" s="31">
        <f>IF(AN36=0,L36,0)</f>
        <v>0</v>
      </c>
      <c r="AK36" s="31">
        <f>IF(AN36=15,L36,0)</f>
        <v>0</v>
      </c>
      <c r="AL36" s="31">
        <f>IF(AN36=21,L36,0)</f>
        <v>0</v>
      </c>
      <c r="AN36" s="31">
        <v>21</v>
      </c>
      <c r="AO36" s="31">
        <f>H36*0.36718254</f>
        <v>0</v>
      </c>
      <c r="AP36" s="31">
        <f>H36*(1-0.36718254)</f>
        <v>0</v>
      </c>
      <c r="AQ36" s="34" t="s">
        <v>87</v>
      </c>
      <c r="AV36" s="31">
        <f>ROUND(AW36+AX36,2)</f>
        <v>0</v>
      </c>
      <c r="AW36" s="31">
        <f>ROUND(G36*AO36,2)</f>
        <v>0</v>
      </c>
      <c r="AX36" s="31">
        <f>ROUND(G36*AP36,2)</f>
        <v>0</v>
      </c>
      <c r="AY36" s="34" t="s">
        <v>115</v>
      </c>
      <c r="AZ36" s="34" t="s">
        <v>116</v>
      </c>
      <c r="BA36" s="12" t="s">
        <v>64</v>
      </c>
      <c r="BC36" s="31">
        <f>AW36+AX36</f>
        <v>0</v>
      </c>
      <c r="BD36" s="31">
        <f>H36/(100-BE36)*100</f>
        <v>0</v>
      </c>
      <c r="BE36" s="31">
        <v>0</v>
      </c>
      <c r="BF36" s="31">
        <f>O36</f>
        <v>4.725E-2</v>
      </c>
      <c r="BH36" s="31">
        <f>G36*AO36</f>
        <v>0</v>
      </c>
      <c r="BI36" s="31">
        <f>G36*AP36</f>
        <v>0</v>
      </c>
      <c r="BJ36" s="31">
        <f>G36*H36</f>
        <v>0</v>
      </c>
      <c r="BK36" s="31"/>
      <c r="BL36" s="31">
        <v>777</v>
      </c>
      <c r="BW36" s="31">
        <f>I36</f>
        <v>21</v>
      </c>
      <c r="BX36" s="5" t="s">
        <v>125</v>
      </c>
    </row>
    <row r="37" spans="1:76" x14ac:dyDescent="0.25">
      <c r="A37" s="40"/>
      <c r="C37" s="41"/>
      <c r="D37" s="207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6"/>
      <c r="BX37" s="42"/>
    </row>
    <row r="38" spans="1:76" ht="26.25" customHeight="1" x14ac:dyDescent="0.25">
      <c r="A38" s="43" t="s">
        <v>126</v>
      </c>
      <c r="B38" s="44" t="s">
        <v>54</v>
      </c>
      <c r="C38" s="44" t="s">
        <v>118</v>
      </c>
      <c r="D38" s="198" t="s">
        <v>127</v>
      </c>
      <c r="E38" s="199"/>
      <c r="F38" s="44" t="s">
        <v>120</v>
      </c>
      <c r="G38" s="45">
        <v>120</v>
      </c>
      <c r="H38" s="112">
        <v>0</v>
      </c>
      <c r="I38" s="46">
        <v>21</v>
      </c>
      <c r="J38" s="45">
        <f>ROUND(G38*AO38,2)</f>
        <v>0</v>
      </c>
      <c r="K38" s="45">
        <f>ROUND(G38*AP38,2)</f>
        <v>0</v>
      </c>
      <c r="L38" s="45">
        <f>ROUND(G38*H38,2)</f>
        <v>0</v>
      </c>
      <c r="M38" s="45">
        <f>L38*(1+BW38/100)</f>
        <v>0</v>
      </c>
      <c r="N38" s="45">
        <v>1E-3</v>
      </c>
      <c r="O38" s="45">
        <f>G38*N38</f>
        <v>0.12</v>
      </c>
      <c r="P38" s="47" t="s">
        <v>121</v>
      </c>
      <c r="Z38" s="31">
        <f>ROUND(IF(AQ38="5",BJ38,0),2)</f>
        <v>0</v>
      </c>
      <c r="AB38" s="31">
        <f>ROUND(IF(AQ38="1",BH38,0),2)</f>
        <v>0</v>
      </c>
      <c r="AC38" s="31">
        <f>ROUND(IF(AQ38="1",BI38,0),2)</f>
        <v>0</v>
      </c>
      <c r="AD38" s="31">
        <f>ROUND(IF(AQ38="7",BH38,0),2)</f>
        <v>0</v>
      </c>
      <c r="AE38" s="31">
        <f>ROUND(IF(AQ38="7",BI38,0),2)</f>
        <v>0</v>
      </c>
      <c r="AF38" s="31">
        <f>ROUND(IF(AQ38="2",BH38,0),2)</f>
        <v>0</v>
      </c>
      <c r="AG38" s="31">
        <f>ROUND(IF(AQ38="2",BI38,0),2)</f>
        <v>0</v>
      </c>
      <c r="AH38" s="31">
        <f>ROUND(IF(AQ38="0",BJ38,0),2)</f>
        <v>0</v>
      </c>
      <c r="AI38" s="12" t="s">
        <v>54</v>
      </c>
      <c r="AJ38" s="31">
        <f>IF(AN38=0,L38,0)</f>
        <v>0</v>
      </c>
      <c r="AK38" s="31">
        <f>IF(AN38=15,L38,0)</f>
        <v>0</v>
      </c>
      <c r="AL38" s="31">
        <f>IF(AN38=21,L38,0)</f>
        <v>0</v>
      </c>
      <c r="AN38" s="31">
        <v>21</v>
      </c>
      <c r="AO38" s="31">
        <f>H38*1</f>
        <v>0</v>
      </c>
      <c r="AP38" s="31">
        <f>H38*(1-1)</f>
        <v>0</v>
      </c>
      <c r="AQ38" s="34" t="s">
        <v>87</v>
      </c>
      <c r="AV38" s="31">
        <f>ROUND(AW38+AX38,2)</f>
        <v>0</v>
      </c>
      <c r="AW38" s="31">
        <f>ROUND(G38*AO38,2)</f>
        <v>0</v>
      </c>
      <c r="AX38" s="31">
        <f>ROUND(G38*AP38,2)</f>
        <v>0</v>
      </c>
      <c r="AY38" s="34" t="s">
        <v>115</v>
      </c>
      <c r="AZ38" s="34" t="s">
        <v>116</v>
      </c>
      <c r="BA38" s="12" t="s">
        <v>64</v>
      </c>
      <c r="BC38" s="31">
        <f>AW38+AX38</f>
        <v>0</v>
      </c>
      <c r="BD38" s="31">
        <f>H38/(100-BE38)*100</f>
        <v>0</v>
      </c>
      <c r="BE38" s="31">
        <v>0</v>
      </c>
      <c r="BF38" s="31">
        <f>O38</f>
        <v>0.12</v>
      </c>
      <c r="BH38" s="31">
        <f>G38*AO38</f>
        <v>0</v>
      </c>
      <c r="BI38" s="31">
        <f>G38*AP38</f>
        <v>0</v>
      </c>
      <c r="BJ38" s="31">
        <f>G38*H38</f>
        <v>0</v>
      </c>
      <c r="BK38" s="31"/>
      <c r="BL38" s="31">
        <v>777</v>
      </c>
      <c r="BW38" s="31">
        <f>I38</f>
        <v>21</v>
      </c>
      <c r="BX38" s="5" t="s">
        <v>127</v>
      </c>
    </row>
    <row r="39" spans="1:76" x14ac:dyDescent="0.25">
      <c r="A39" s="40"/>
      <c r="C39" s="41" t="s">
        <v>76</v>
      </c>
      <c r="D39" s="207" t="s">
        <v>128</v>
      </c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6"/>
      <c r="BX39" s="42" t="s">
        <v>128</v>
      </c>
    </row>
    <row r="40" spans="1:76" x14ac:dyDescent="0.25">
      <c r="A40" s="2" t="s">
        <v>129</v>
      </c>
      <c r="B40" s="3" t="s">
        <v>54</v>
      </c>
      <c r="C40" s="3" t="s">
        <v>130</v>
      </c>
      <c r="D40" s="121" t="s">
        <v>131</v>
      </c>
      <c r="E40" s="122"/>
      <c r="F40" s="3" t="s">
        <v>73</v>
      </c>
      <c r="G40" s="31">
        <v>35</v>
      </c>
      <c r="H40" s="112">
        <v>0</v>
      </c>
      <c r="I40" s="32">
        <v>21</v>
      </c>
      <c r="J40" s="31">
        <f>ROUND(G40*AO40,2)</f>
        <v>0</v>
      </c>
      <c r="K40" s="31">
        <f>ROUND(G40*AP40,2)</f>
        <v>0</v>
      </c>
      <c r="L40" s="31">
        <f>ROUND(G40*H40,2)</f>
        <v>0</v>
      </c>
      <c r="M40" s="31">
        <f>L40*(1+BW40/100)</f>
        <v>0</v>
      </c>
      <c r="N40" s="31">
        <v>2.0000000000000002E-5</v>
      </c>
      <c r="O40" s="31">
        <f>G40*N40</f>
        <v>7.000000000000001E-4</v>
      </c>
      <c r="P40" s="33" t="s">
        <v>61</v>
      </c>
      <c r="Z40" s="31">
        <f>ROUND(IF(AQ40="5",BJ40,0),2)</f>
        <v>0</v>
      </c>
      <c r="AB40" s="31">
        <f>ROUND(IF(AQ40="1",BH40,0),2)</f>
        <v>0</v>
      </c>
      <c r="AC40" s="31">
        <f>ROUND(IF(AQ40="1",BI40,0),2)</f>
        <v>0</v>
      </c>
      <c r="AD40" s="31">
        <f>ROUND(IF(AQ40="7",BH40,0),2)</f>
        <v>0</v>
      </c>
      <c r="AE40" s="31">
        <f>ROUND(IF(AQ40="7",BI40,0),2)</f>
        <v>0</v>
      </c>
      <c r="AF40" s="31">
        <f>ROUND(IF(AQ40="2",BH40,0),2)</f>
        <v>0</v>
      </c>
      <c r="AG40" s="31">
        <f>ROUND(IF(AQ40="2",BI40,0),2)</f>
        <v>0</v>
      </c>
      <c r="AH40" s="31">
        <f>ROUND(IF(AQ40="0",BJ40,0),2)</f>
        <v>0</v>
      </c>
      <c r="AI40" s="12" t="s">
        <v>54</v>
      </c>
      <c r="AJ40" s="31">
        <f>IF(AN40=0,L40,0)</f>
        <v>0</v>
      </c>
      <c r="AK40" s="31">
        <f>IF(AN40=15,L40,0)</f>
        <v>0</v>
      </c>
      <c r="AL40" s="31">
        <f>IF(AN40=21,L40,0)</f>
        <v>0</v>
      </c>
      <c r="AN40" s="31">
        <v>21</v>
      </c>
      <c r="AO40" s="31">
        <f>H40*0.016682927</f>
        <v>0</v>
      </c>
      <c r="AP40" s="31">
        <f>H40*(1-0.016682927)</f>
        <v>0</v>
      </c>
      <c r="AQ40" s="34" t="s">
        <v>87</v>
      </c>
      <c r="AV40" s="31">
        <f>ROUND(AW40+AX40,2)</f>
        <v>0</v>
      </c>
      <c r="AW40" s="31">
        <f>ROUND(G40*AO40,2)</f>
        <v>0</v>
      </c>
      <c r="AX40" s="31">
        <f>ROUND(G40*AP40,2)</f>
        <v>0</v>
      </c>
      <c r="AY40" s="34" t="s">
        <v>115</v>
      </c>
      <c r="AZ40" s="34" t="s">
        <v>116</v>
      </c>
      <c r="BA40" s="12" t="s">
        <v>64</v>
      </c>
      <c r="BC40" s="31">
        <f>AW40+AX40</f>
        <v>0</v>
      </c>
      <c r="BD40" s="31">
        <f>H40/(100-BE40)*100</f>
        <v>0</v>
      </c>
      <c r="BE40" s="31">
        <v>0</v>
      </c>
      <c r="BF40" s="31">
        <f>O40</f>
        <v>7.000000000000001E-4</v>
      </c>
      <c r="BH40" s="31">
        <f>G40*AO40</f>
        <v>0</v>
      </c>
      <c r="BI40" s="31">
        <f>G40*AP40</f>
        <v>0</v>
      </c>
      <c r="BJ40" s="31">
        <f>G40*H40</f>
        <v>0</v>
      </c>
      <c r="BK40" s="31"/>
      <c r="BL40" s="31">
        <v>777</v>
      </c>
      <c r="BW40" s="31">
        <f>I40</f>
        <v>21</v>
      </c>
      <c r="BX40" s="5" t="s">
        <v>131</v>
      </c>
    </row>
    <row r="41" spans="1:76" x14ac:dyDescent="0.25">
      <c r="A41" s="40"/>
      <c r="C41" s="41"/>
      <c r="D41" s="207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6"/>
      <c r="BX41" s="42"/>
    </row>
    <row r="42" spans="1:76" x14ac:dyDescent="0.25">
      <c r="A42" s="43" t="s">
        <v>132</v>
      </c>
      <c r="B42" s="44" t="s">
        <v>54</v>
      </c>
      <c r="C42" s="44" t="s">
        <v>133</v>
      </c>
      <c r="D42" s="198" t="s">
        <v>134</v>
      </c>
      <c r="E42" s="199"/>
      <c r="F42" s="44" t="s">
        <v>120</v>
      </c>
      <c r="G42" s="45">
        <v>40</v>
      </c>
      <c r="H42" s="112">
        <v>0</v>
      </c>
      <c r="I42" s="46">
        <v>21</v>
      </c>
      <c r="J42" s="45">
        <f>ROUND(G42*AO42,2)</f>
        <v>0</v>
      </c>
      <c r="K42" s="45">
        <f>ROUND(G42*AP42,2)</f>
        <v>0</v>
      </c>
      <c r="L42" s="45">
        <f>ROUND(G42*H42,2)</f>
        <v>0</v>
      </c>
      <c r="M42" s="45">
        <f>L42*(1+BW42/100)</f>
        <v>0</v>
      </c>
      <c r="N42" s="45">
        <v>1E-3</v>
      </c>
      <c r="O42" s="45">
        <f>G42*N42</f>
        <v>0.04</v>
      </c>
      <c r="P42" s="47" t="s">
        <v>61</v>
      </c>
      <c r="Z42" s="31">
        <f>ROUND(IF(AQ42="5",BJ42,0),2)</f>
        <v>0</v>
      </c>
      <c r="AB42" s="31">
        <f>ROUND(IF(AQ42="1",BH42,0),2)</f>
        <v>0</v>
      </c>
      <c r="AC42" s="31">
        <f>ROUND(IF(AQ42="1",BI42,0),2)</f>
        <v>0</v>
      </c>
      <c r="AD42" s="31">
        <f>ROUND(IF(AQ42="7",BH42,0),2)</f>
        <v>0</v>
      </c>
      <c r="AE42" s="31">
        <f>ROUND(IF(AQ42="7",BI42,0),2)</f>
        <v>0</v>
      </c>
      <c r="AF42" s="31">
        <f>ROUND(IF(AQ42="2",BH42,0),2)</f>
        <v>0</v>
      </c>
      <c r="AG42" s="31">
        <f>ROUND(IF(AQ42="2",BI42,0),2)</f>
        <v>0</v>
      </c>
      <c r="AH42" s="31">
        <f>ROUND(IF(AQ42="0",BJ42,0),2)</f>
        <v>0</v>
      </c>
      <c r="AI42" s="12" t="s">
        <v>54</v>
      </c>
      <c r="AJ42" s="31">
        <f>IF(AN42=0,L42,0)</f>
        <v>0</v>
      </c>
      <c r="AK42" s="31">
        <f>IF(AN42=15,L42,0)</f>
        <v>0</v>
      </c>
      <c r="AL42" s="31">
        <f>IF(AN42=21,L42,0)</f>
        <v>0</v>
      </c>
      <c r="AN42" s="31">
        <v>21</v>
      </c>
      <c r="AO42" s="31">
        <f>H42*1</f>
        <v>0</v>
      </c>
      <c r="AP42" s="31">
        <f>H42*(1-1)</f>
        <v>0</v>
      </c>
      <c r="AQ42" s="34" t="s">
        <v>87</v>
      </c>
      <c r="AV42" s="31">
        <f>ROUND(AW42+AX42,2)</f>
        <v>0</v>
      </c>
      <c r="AW42" s="31">
        <f>ROUND(G42*AO42,2)</f>
        <v>0</v>
      </c>
      <c r="AX42" s="31">
        <f>ROUND(G42*AP42,2)</f>
        <v>0</v>
      </c>
      <c r="AY42" s="34" t="s">
        <v>115</v>
      </c>
      <c r="AZ42" s="34" t="s">
        <v>116</v>
      </c>
      <c r="BA42" s="12" t="s">
        <v>64</v>
      </c>
      <c r="BC42" s="31">
        <f>AW42+AX42</f>
        <v>0</v>
      </c>
      <c r="BD42" s="31">
        <f>H42/(100-BE42)*100</f>
        <v>0</v>
      </c>
      <c r="BE42" s="31">
        <v>0</v>
      </c>
      <c r="BF42" s="31">
        <f>O42</f>
        <v>0.04</v>
      </c>
      <c r="BH42" s="31">
        <f>G42*AO42</f>
        <v>0</v>
      </c>
      <c r="BI42" s="31">
        <f>G42*AP42</f>
        <v>0</v>
      </c>
      <c r="BJ42" s="31">
        <f>G42*H42</f>
        <v>0</v>
      </c>
      <c r="BK42" s="31"/>
      <c r="BL42" s="31">
        <v>777</v>
      </c>
      <c r="BW42" s="31">
        <f>I42</f>
        <v>21</v>
      </c>
      <c r="BX42" s="5" t="s">
        <v>134</v>
      </c>
    </row>
    <row r="43" spans="1:76" ht="38.25" x14ac:dyDescent="0.25">
      <c r="A43" s="40"/>
      <c r="C43" s="41" t="s">
        <v>76</v>
      </c>
      <c r="D43" s="207" t="s">
        <v>135</v>
      </c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6"/>
      <c r="BX43" s="42" t="s">
        <v>135</v>
      </c>
    </row>
    <row r="44" spans="1:76" x14ac:dyDescent="0.25">
      <c r="A44" s="35" t="s">
        <v>54</v>
      </c>
      <c r="B44" s="36" t="s">
        <v>54</v>
      </c>
      <c r="C44" s="36" t="s">
        <v>136</v>
      </c>
      <c r="D44" s="208" t="s">
        <v>137</v>
      </c>
      <c r="E44" s="209"/>
      <c r="F44" s="38" t="s">
        <v>4</v>
      </c>
      <c r="G44" s="38" t="s">
        <v>4</v>
      </c>
      <c r="H44" s="110" t="s">
        <v>4</v>
      </c>
      <c r="I44" s="38" t="s">
        <v>4</v>
      </c>
      <c r="J44" s="1">
        <f>SUM(J45:J51)</f>
        <v>0</v>
      </c>
      <c r="K44" s="1">
        <f>SUM(K45:K51)</f>
        <v>0</v>
      </c>
      <c r="L44" s="1">
        <f>SUM(L45:L51)</f>
        <v>0</v>
      </c>
      <c r="M44" s="1">
        <f>SUM(M45:M51)</f>
        <v>0</v>
      </c>
      <c r="N44" s="12" t="s">
        <v>54</v>
      </c>
      <c r="O44" s="1">
        <f>SUM(O45:O51)</f>
        <v>1.72E-2</v>
      </c>
      <c r="P44" s="39" t="s">
        <v>54</v>
      </c>
      <c r="AI44" s="12" t="s">
        <v>54</v>
      </c>
      <c r="AS44" s="1">
        <f>SUM(AJ45:AJ51)</f>
        <v>0</v>
      </c>
      <c r="AT44" s="1">
        <f>SUM(AK45:AK51)</f>
        <v>0</v>
      </c>
      <c r="AU44" s="1">
        <f>SUM(AL45:AL51)</f>
        <v>0</v>
      </c>
    </row>
    <row r="45" spans="1:76" x14ac:dyDescent="0.25">
      <c r="A45" s="2" t="s">
        <v>138</v>
      </c>
      <c r="B45" s="3" t="s">
        <v>54</v>
      </c>
      <c r="C45" s="3" t="s">
        <v>139</v>
      </c>
      <c r="D45" s="121" t="s">
        <v>140</v>
      </c>
      <c r="E45" s="122"/>
      <c r="F45" s="3" t="s">
        <v>73</v>
      </c>
      <c r="G45" s="31">
        <v>20</v>
      </c>
      <c r="H45" s="112">
        <v>0</v>
      </c>
      <c r="I45" s="32">
        <v>21</v>
      </c>
      <c r="J45" s="31">
        <f>ROUND(G45*AO45,2)</f>
        <v>0</v>
      </c>
      <c r="K45" s="31">
        <f>ROUND(G45*AP45,2)</f>
        <v>0</v>
      </c>
      <c r="L45" s="31">
        <f>ROUND(G45*H45,2)</f>
        <v>0</v>
      </c>
      <c r="M45" s="31">
        <f>L45*(1+BW45/100)</f>
        <v>0</v>
      </c>
      <c r="N45" s="31">
        <v>1.0000000000000001E-5</v>
      </c>
      <c r="O45" s="31">
        <f>G45*N45</f>
        <v>2.0000000000000001E-4</v>
      </c>
      <c r="P45" s="33" t="s">
        <v>61</v>
      </c>
      <c r="Z45" s="31">
        <f>ROUND(IF(AQ45="5",BJ45,0),2)</f>
        <v>0</v>
      </c>
      <c r="AB45" s="31">
        <f>ROUND(IF(AQ45="1",BH45,0),2)</f>
        <v>0</v>
      </c>
      <c r="AC45" s="31">
        <f>ROUND(IF(AQ45="1",BI45,0),2)</f>
        <v>0</v>
      </c>
      <c r="AD45" s="31">
        <f>ROUND(IF(AQ45="7",BH45,0),2)</f>
        <v>0</v>
      </c>
      <c r="AE45" s="31">
        <f>ROUND(IF(AQ45="7",BI45,0),2)</f>
        <v>0</v>
      </c>
      <c r="AF45" s="31">
        <f>ROUND(IF(AQ45="2",BH45,0),2)</f>
        <v>0</v>
      </c>
      <c r="AG45" s="31">
        <f>ROUND(IF(AQ45="2",BI45,0),2)</f>
        <v>0</v>
      </c>
      <c r="AH45" s="31">
        <f>ROUND(IF(AQ45="0",BJ45,0),2)</f>
        <v>0</v>
      </c>
      <c r="AI45" s="12" t="s">
        <v>54</v>
      </c>
      <c r="AJ45" s="31">
        <f>IF(AN45=0,L45,0)</f>
        <v>0</v>
      </c>
      <c r="AK45" s="31">
        <f>IF(AN45=15,L45,0)</f>
        <v>0</v>
      </c>
      <c r="AL45" s="31">
        <f>IF(AN45=21,L45,0)</f>
        <v>0</v>
      </c>
      <c r="AN45" s="31">
        <v>21</v>
      </c>
      <c r="AO45" s="31">
        <f>H45*0.054726368</f>
        <v>0</v>
      </c>
      <c r="AP45" s="31">
        <f>H45*(1-0.054726368)</f>
        <v>0</v>
      </c>
      <c r="AQ45" s="34" t="s">
        <v>87</v>
      </c>
      <c r="AV45" s="31">
        <f>ROUND(AW45+AX45,2)</f>
        <v>0</v>
      </c>
      <c r="AW45" s="31">
        <f>ROUND(G45*AO45,2)</f>
        <v>0</v>
      </c>
      <c r="AX45" s="31">
        <f>ROUND(G45*AP45,2)</f>
        <v>0</v>
      </c>
      <c r="AY45" s="34" t="s">
        <v>141</v>
      </c>
      <c r="AZ45" s="34" t="s">
        <v>142</v>
      </c>
      <c r="BA45" s="12" t="s">
        <v>64</v>
      </c>
      <c r="BC45" s="31">
        <f>AW45+AX45</f>
        <v>0</v>
      </c>
      <c r="BD45" s="31">
        <f>H45/(100-BE45)*100</f>
        <v>0</v>
      </c>
      <c r="BE45" s="31">
        <v>0</v>
      </c>
      <c r="BF45" s="31">
        <f>O45</f>
        <v>2.0000000000000001E-4</v>
      </c>
      <c r="BH45" s="31">
        <f>G45*AO45</f>
        <v>0</v>
      </c>
      <c r="BI45" s="31">
        <f>G45*AP45</f>
        <v>0</v>
      </c>
      <c r="BJ45" s="31">
        <f>G45*H45</f>
        <v>0</v>
      </c>
      <c r="BK45" s="31"/>
      <c r="BL45" s="31">
        <v>783</v>
      </c>
      <c r="BW45" s="31">
        <f>I45</f>
        <v>21</v>
      </c>
      <c r="BX45" s="5" t="s">
        <v>140</v>
      </c>
    </row>
    <row r="46" spans="1:76" x14ac:dyDescent="0.25">
      <c r="A46" s="2" t="s">
        <v>143</v>
      </c>
      <c r="B46" s="3" t="s">
        <v>54</v>
      </c>
      <c r="C46" s="3" t="s">
        <v>144</v>
      </c>
      <c r="D46" s="121" t="s">
        <v>145</v>
      </c>
      <c r="E46" s="122"/>
      <c r="F46" s="3" t="s">
        <v>73</v>
      </c>
      <c r="G46" s="31">
        <v>20</v>
      </c>
      <c r="H46" s="112">
        <v>0</v>
      </c>
      <c r="I46" s="32">
        <v>21</v>
      </c>
      <c r="J46" s="31">
        <f>ROUND(G46*AO46,2)</f>
        <v>0</v>
      </c>
      <c r="K46" s="31">
        <f>ROUND(G46*AP46,2)</f>
        <v>0</v>
      </c>
      <c r="L46" s="31">
        <f>ROUND(G46*H46,2)</f>
        <v>0</v>
      </c>
      <c r="M46" s="31">
        <f>L46*(1+BW46/100)</f>
        <v>0</v>
      </c>
      <c r="N46" s="31">
        <v>1.0000000000000001E-5</v>
      </c>
      <c r="O46" s="31">
        <f>G46*N46</f>
        <v>2.0000000000000001E-4</v>
      </c>
      <c r="P46" s="33" t="s">
        <v>61</v>
      </c>
      <c r="Z46" s="31">
        <f>ROUND(IF(AQ46="5",BJ46,0),2)</f>
        <v>0</v>
      </c>
      <c r="AB46" s="31">
        <f>ROUND(IF(AQ46="1",BH46,0),2)</f>
        <v>0</v>
      </c>
      <c r="AC46" s="31">
        <f>ROUND(IF(AQ46="1",BI46,0),2)</f>
        <v>0</v>
      </c>
      <c r="AD46" s="31">
        <f>ROUND(IF(AQ46="7",BH46,0),2)</f>
        <v>0</v>
      </c>
      <c r="AE46" s="31">
        <f>ROUND(IF(AQ46="7",BI46,0),2)</f>
        <v>0</v>
      </c>
      <c r="AF46" s="31">
        <f>ROUND(IF(AQ46="2",BH46,0),2)</f>
        <v>0</v>
      </c>
      <c r="AG46" s="31">
        <f>ROUND(IF(AQ46="2",BI46,0),2)</f>
        <v>0</v>
      </c>
      <c r="AH46" s="31">
        <f>ROUND(IF(AQ46="0",BJ46,0),2)</f>
        <v>0</v>
      </c>
      <c r="AI46" s="12" t="s">
        <v>54</v>
      </c>
      <c r="AJ46" s="31">
        <f>IF(AN46=0,L46,0)</f>
        <v>0</v>
      </c>
      <c r="AK46" s="31">
        <f>IF(AN46=15,L46,0)</f>
        <v>0</v>
      </c>
      <c r="AL46" s="31">
        <f>IF(AN46=21,L46,0)</f>
        <v>0</v>
      </c>
      <c r="AN46" s="31">
        <v>21</v>
      </c>
      <c r="AO46" s="31">
        <f>H46*0.067355372</f>
        <v>0</v>
      </c>
      <c r="AP46" s="31">
        <f>H46*(1-0.067355372)</f>
        <v>0</v>
      </c>
      <c r="AQ46" s="34" t="s">
        <v>87</v>
      </c>
      <c r="AV46" s="31">
        <f>ROUND(AW46+AX46,2)</f>
        <v>0</v>
      </c>
      <c r="AW46" s="31">
        <f>ROUND(G46*AO46,2)</f>
        <v>0</v>
      </c>
      <c r="AX46" s="31">
        <f>ROUND(G46*AP46,2)</f>
        <v>0</v>
      </c>
      <c r="AY46" s="34" t="s">
        <v>141</v>
      </c>
      <c r="AZ46" s="34" t="s">
        <v>142</v>
      </c>
      <c r="BA46" s="12" t="s">
        <v>64</v>
      </c>
      <c r="BC46" s="31">
        <f>AW46+AX46</f>
        <v>0</v>
      </c>
      <c r="BD46" s="31">
        <f>H46/(100-BE46)*100</f>
        <v>0</v>
      </c>
      <c r="BE46" s="31">
        <v>0</v>
      </c>
      <c r="BF46" s="31">
        <f>O46</f>
        <v>2.0000000000000001E-4</v>
      </c>
      <c r="BH46" s="31">
        <f>G46*AO46</f>
        <v>0</v>
      </c>
      <c r="BI46" s="31">
        <f>G46*AP46</f>
        <v>0</v>
      </c>
      <c r="BJ46" s="31">
        <f>G46*H46</f>
        <v>0</v>
      </c>
      <c r="BK46" s="31"/>
      <c r="BL46" s="31">
        <v>783</v>
      </c>
      <c r="BW46" s="31">
        <f>I46</f>
        <v>21</v>
      </c>
      <c r="BX46" s="5" t="s">
        <v>145</v>
      </c>
    </row>
    <row r="47" spans="1:76" x14ac:dyDescent="0.25">
      <c r="A47" s="2" t="s">
        <v>146</v>
      </c>
      <c r="B47" s="3" t="s">
        <v>54</v>
      </c>
      <c r="C47" s="3" t="s">
        <v>147</v>
      </c>
      <c r="D47" s="121" t="s">
        <v>148</v>
      </c>
      <c r="E47" s="122"/>
      <c r="F47" s="3" t="s">
        <v>73</v>
      </c>
      <c r="G47" s="31">
        <v>20</v>
      </c>
      <c r="H47" s="112">
        <v>0</v>
      </c>
      <c r="I47" s="32">
        <v>21</v>
      </c>
      <c r="J47" s="31">
        <f>ROUND(G47*AO47,2)</f>
        <v>0</v>
      </c>
      <c r="K47" s="31">
        <f>ROUND(G47*AP47,2)</f>
        <v>0</v>
      </c>
      <c r="L47" s="31">
        <f>ROUND(G47*H47,2)</f>
        <v>0</v>
      </c>
      <c r="M47" s="31">
        <f>L47*(1+BW47/100)</f>
        <v>0</v>
      </c>
      <c r="N47" s="31">
        <v>6.9999999999999994E-5</v>
      </c>
      <c r="O47" s="31">
        <f>G47*N47</f>
        <v>1.3999999999999998E-3</v>
      </c>
      <c r="P47" s="33" t="s">
        <v>61</v>
      </c>
      <c r="Z47" s="31">
        <f>ROUND(IF(AQ47="5",BJ47,0),2)</f>
        <v>0</v>
      </c>
      <c r="AB47" s="31">
        <f>ROUND(IF(AQ47="1",BH47,0),2)</f>
        <v>0</v>
      </c>
      <c r="AC47" s="31">
        <f>ROUND(IF(AQ47="1",BI47,0),2)</f>
        <v>0</v>
      </c>
      <c r="AD47" s="31">
        <f>ROUND(IF(AQ47="7",BH47,0),2)</f>
        <v>0</v>
      </c>
      <c r="AE47" s="31">
        <f>ROUND(IF(AQ47="7",BI47,0),2)</f>
        <v>0</v>
      </c>
      <c r="AF47" s="31">
        <f>ROUND(IF(AQ47="2",BH47,0),2)</f>
        <v>0</v>
      </c>
      <c r="AG47" s="31">
        <f>ROUND(IF(AQ47="2",BI47,0),2)</f>
        <v>0</v>
      </c>
      <c r="AH47" s="31">
        <f>ROUND(IF(AQ47="0",BJ47,0),2)</f>
        <v>0</v>
      </c>
      <c r="AI47" s="12" t="s">
        <v>54</v>
      </c>
      <c r="AJ47" s="31">
        <f>IF(AN47=0,L47,0)</f>
        <v>0</v>
      </c>
      <c r="AK47" s="31">
        <f>IF(AN47=15,L47,0)</f>
        <v>0</v>
      </c>
      <c r="AL47" s="31">
        <f>IF(AN47=21,L47,0)</f>
        <v>0</v>
      </c>
      <c r="AN47" s="31">
        <v>21</v>
      </c>
      <c r="AO47" s="31">
        <f>H47*0.100498132</f>
        <v>0</v>
      </c>
      <c r="AP47" s="31">
        <f>H47*(1-0.100498132)</f>
        <v>0</v>
      </c>
      <c r="AQ47" s="34" t="s">
        <v>87</v>
      </c>
      <c r="AV47" s="31">
        <f>ROUND(AW47+AX47,2)</f>
        <v>0</v>
      </c>
      <c r="AW47" s="31">
        <f>ROUND(G47*AO47,2)</f>
        <v>0</v>
      </c>
      <c r="AX47" s="31">
        <f>ROUND(G47*AP47,2)</f>
        <v>0</v>
      </c>
      <c r="AY47" s="34" t="s">
        <v>141</v>
      </c>
      <c r="AZ47" s="34" t="s">
        <v>142</v>
      </c>
      <c r="BA47" s="12" t="s">
        <v>64</v>
      </c>
      <c r="BC47" s="31">
        <f>AW47+AX47</f>
        <v>0</v>
      </c>
      <c r="BD47" s="31">
        <f>H47/(100-BE47)*100</f>
        <v>0</v>
      </c>
      <c r="BE47" s="31">
        <v>0</v>
      </c>
      <c r="BF47" s="31">
        <f>O47</f>
        <v>1.3999999999999998E-3</v>
      </c>
      <c r="BH47" s="31">
        <f>G47*AO47</f>
        <v>0</v>
      </c>
      <c r="BI47" s="31">
        <f>G47*AP47</f>
        <v>0</v>
      </c>
      <c r="BJ47" s="31">
        <f>G47*H47</f>
        <v>0</v>
      </c>
      <c r="BK47" s="31"/>
      <c r="BL47" s="31">
        <v>783</v>
      </c>
      <c r="BW47" s="31">
        <f>I47</f>
        <v>21</v>
      </c>
      <c r="BX47" s="5" t="s">
        <v>148</v>
      </c>
    </row>
    <row r="48" spans="1:76" x14ac:dyDescent="0.25">
      <c r="A48" s="2" t="s">
        <v>149</v>
      </c>
      <c r="B48" s="3" t="s">
        <v>54</v>
      </c>
      <c r="C48" s="3" t="s">
        <v>150</v>
      </c>
      <c r="D48" s="121" t="s">
        <v>151</v>
      </c>
      <c r="E48" s="122"/>
      <c r="F48" s="3" t="s">
        <v>73</v>
      </c>
      <c r="G48" s="31">
        <v>20</v>
      </c>
      <c r="H48" s="112">
        <v>0</v>
      </c>
      <c r="I48" s="32">
        <v>21</v>
      </c>
      <c r="J48" s="31">
        <f>ROUND(G48*AO48,2)</f>
        <v>0</v>
      </c>
      <c r="K48" s="31">
        <f>ROUND(G48*AP48,2)</f>
        <v>0</v>
      </c>
      <c r="L48" s="31">
        <f>ROUND(G48*H48,2)</f>
        <v>0</v>
      </c>
      <c r="M48" s="31">
        <f>L48*(1+BW48/100)</f>
        <v>0</v>
      </c>
      <c r="N48" s="31">
        <v>0</v>
      </c>
      <c r="O48" s="31">
        <f>G48*N48</f>
        <v>0</v>
      </c>
      <c r="P48" s="33" t="s">
        <v>61</v>
      </c>
      <c r="Z48" s="31">
        <f>ROUND(IF(AQ48="5",BJ48,0),2)</f>
        <v>0</v>
      </c>
      <c r="AB48" s="31">
        <f>ROUND(IF(AQ48="1",BH48,0),2)</f>
        <v>0</v>
      </c>
      <c r="AC48" s="31">
        <f>ROUND(IF(AQ48="1",BI48,0),2)</f>
        <v>0</v>
      </c>
      <c r="AD48" s="31">
        <f>ROUND(IF(AQ48="7",BH48,0),2)</f>
        <v>0</v>
      </c>
      <c r="AE48" s="31">
        <f>ROUND(IF(AQ48="7",BI48,0),2)</f>
        <v>0</v>
      </c>
      <c r="AF48" s="31">
        <f>ROUND(IF(AQ48="2",BH48,0),2)</f>
        <v>0</v>
      </c>
      <c r="AG48" s="31">
        <f>ROUND(IF(AQ48="2",BI48,0),2)</f>
        <v>0</v>
      </c>
      <c r="AH48" s="31">
        <f>ROUND(IF(AQ48="0",BJ48,0),2)</f>
        <v>0</v>
      </c>
      <c r="AI48" s="12" t="s">
        <v>54</v>
      </c>
      <c r="AJ48" s="31">
        <f>IF(AN48=0,L48,0)</f>
        <v>0</v>
      </c>
      <c r="AK48" s="31">
        <f>IF(AN48=15,L48,0)</f>
        <v>0</v>
      </c>
      <c r="AL48" s="31">
        <f>IF(AN48=21,L48,0)</f>
        <v>0</v>
      </c>
      <c r="AN48" s="31">
        <v>21</v>
      </c>
      <c r="AO48" s="31">
        <f>H48*0</f>
        <v>0</v>
      </c>
      <c r="AP48" s="31">
        <f>H48*(1-0)</f>
        <v>0</v>
      </c>
      <c r="AQ48" s="34" t="s">
        <v>87</v>
      </c>
      <c r="AV48" s="31">
        <f>ROUND(AW48+AX48,2)</f>
        <v>0</v>
      </c>
      <c r="AW48" s="31">
        <f>ROUND(G48*AO48,2)</f>
        <v>0</v>
      </c>
      <c r="AX48" s="31">
        <f>ROUND(G48*AP48,2)</f>
        <v>0</v>
      </c>
      <c r="AY48" s="34" t="s">
        <v>141</v>
      </c>
      <c r="AZ48" s="34" t="s">
        <v>142</v>
      </c>
      <c r="BA48" s="12" t="s">
        <v>64</v>
      </c>
      <c r="BC48" s="31">
        <f>AW48+AX48</f>
        <v>0</v>
      </c>
      <c r="BD48" s="31">
        <f>H48/(100-BE48)*100</f>
        <v>0</v>
      </c>
      <c r="BE48" s="31">
        <v>0</v>
      </c>
      <c r="BF48" s="31">
        <f>O48</f>
        <v>0</v>
      </c>
      <c r="BH48" s="31">
        <f>G48*AO48</f>
        <v>0</v>
      </c>
      <c r="BI48" s="31">
        <f>G48*AP48</f>
        <v>0</v>
      </c>
      <c r="BJ48" s="31">
        <f>G48*H48</f>
        <v>0</v>
      </c>
      <c r="BK48" s="31"/>
      <c r="BL48" s="31">
        <v>783</v>
      </c>
      <c r="BW48" s="31">
        <f>I48</f>
        <v>21</v>
      </c>
      <c r="BX48" s="5" t="s">
        <v>151</v>
      </c>
    </row>
    <row r="49" spans="1:76" x14ac:dyDescent="0.25">
      <c r="A49" s="40"/>
      <c r="C49" s="41" t="s">
        <v>76</v>
      </c>
      <c r="D49" s="207" t="s">
        <v>152</v>
      </c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6"/>
      <c r="BX49" s="42" t="s">
        <v>152</v>
      </c>
    </row>
    <row r="50" spans="1:76" x14ac:dyDescent="0.25">
      <c r="A50" s="2" t="s">
        <v>153</v>
      </c>
      <c r="B50" s="3" t="s">
        <v>54</v>
      </c>
      <c r="C50" s="3" t="s">
        <v>154</v>
      </c>
      <c r="D50" s="121" t="s">
        <v>155</v>
      </c>
      <c r="E50" s="122"/>
      <c r="F50" s="3" t="s">
        <v>73</v>
      </c>
      <c r="G50" s="31">
        <v>20</v>
      </c>
      <c r="H50" s="112">
        <v>0</v>
      </c>
      <c r="I50" s="32">
        <v>21</v>
      </c>
      <c r="J50" s="31">
        <f>ROUND(G50*AO50,2)</f>
        <v>0</v>
      </c>
      <c r="K50" s="31">
        <f>ROUND(G50*AP50,2)</f>
        <v>0</v>
      </c>
      <c r="L50" s="31">
        <f>ROUND(G50*H50,2)</f>
        <v>0</v>
      </c>
      <c r="M50" s="31">
        <f>L50*(1+BW50/100)</f>
        <v>0</v>
      </c>
      <c r="N50" s="31">
        <v>2.9E-4</v>
      </c>
      <c r="O50" s="31">
        <f>G50*N50</f>
        <v>5.7999999999999996E-3</v>
      </c>
      <c r="P50" s="33" t="s">
        <v>61</v>
      </c>
      <c r="Z50" s="31">
        <f>ROUND(IF(AQ50="5",BJ50,0),2)</f>
        <v>0</v>
      </c>
      <c r="AB50" s="31">
        <f>ROUND(IF(AQ50="1",BH50,0),2)</f>
        <v>0</v>
      </c>
      <c r="AC50" s="31">
        <f>ROUND(IF(AQ50="1",BI50,0),2)</f>
        <v>0</v>
      </c>
      <c r="AD50" s="31">
        <f>ROUND(IF(AQ50="7",BH50,0),2)</f>
        <v>0</v>
      </c>
      <c r="AE50" s="31">
        <f>ROUND(IF(AQ50="7",BI50,0),2)</f>
        <v>0</v>
      </c>
      <c r="AF50" s="31">
        <f>ROUND(IF(AQ50="2",BH50,0),2)</f>
        <v>0</v>
      </c>
      <c r="AG50" s="31">
        <f>ROUND(IF(AQ50="2",BI50,0),2)</f>
        <v>0</v>
      </c>
      <c r="AH50" s="31">
        <f>ROUND(IF(AQ50="0",BJ50,0),2)</f>
        <v>0</v>
      </c>
      <c r="AI50" s="12" t="s">
        <v>54</v>
      </c>
      <c r="AJ50" s="31">
        <f>IF(AN50=0,L50,0)</f>
        <v>0</v>
      </c>
      <c r="AK50" s="31">
        <f>IF(AN50=15,L50,0)</f>
        <v>0</v>
      </c>
      <c r="AL50" s="31">
        <f>IF(AN50=21,L50,0)</f>
        <v>0</v>
      </c>
      <c r="AN50" s="31">
        <v>21</v>
      </c>
      <c r="AO50" s="31">
        <f>H50*0.273816254</f>
        <v>0</v>
      </c>
      <c r="AP50" s="31">
        <f>H50*(1-0.273816254)</f>
        <v>0</v>
      </c>
      <c r="AQ50" s="34" t="s">
        <v>87</v>
      </c>
      <c r="AV50" s="31">
        <f>ROUND(AW50+AX50,2)</f>
        <v>0</v>
      </c>
      <c r="AW50" s="31">
        <f>ROUND(G50*AO50,2)</f>
        <v>0</v>
      </c>
      <c r="AX50" s="31">
        <f>ROUND(G50*AP50,2)</f>
        <v>0</v>
      </c>
      <c r="AY50" s="34" t="s">
        <v>141</v>
      </c>
      <c r="AZ50" s="34" t="s">
        <v>142</v>
      </c>
      <c r="BA50" s="12" t="s">
        <v>64</v>
      </c>
      <c r="BC50" s="31">
        <f>AW50+AX50</f>
        <v>0</v>
      </c>
      <c r="BD50" s="31">
        <f>H50/(100-BE50)*100</f>
        <v>0</v>
      </c>
      <c r="BE50" s="31">
        <v>0</v>
      </c>
      <c r="BF50" s="31">
        <f>O50</f>
        <v>5.7999999999999996E-3</v>
      </c>
      <c r="BH50" s="31">
        <f>G50*AO50</f>
        <v>0</v>
      </c>
      <c r="BI50" s="31">
        <f>G50*AP50</f>
        <v>0</v>
      </c>
      <c r="BJ50" s="31">
        <f>G50*H50</f>
        <v>0</v>
      </c>
      <c r="BK50" s="31"/>
      <c r="BL50" s="31">
        <v>783</v>
      </c>
      <c r="BW50" s="31">
        <f>I50</f>
        <v>21</v>
      </c>
      <c r="BX50" s="5" t="s">
        <v>155</v>
      </c>
    </row>
    <row r="51" spans="1:76" x14ac:dyDescent="0.25">
      <c r="A51" s="2" t="s">
        <v>156</v>
      </c>
      <c r="B51" s="3" t="s">
        <v>54</v>
      </c>
      <c r="C51" s="3" t="s">
        <v>157</v>
      </c>
      <c r="D51" s="121" t="s">
        <v>158</v>
      </c>
      <c r="E51" s="122"/>
      <c r="F51" s="3" t="s">
        <v>73</v>
      </c>
      <c r="G51" s="31">
        <v>20</v>
      </c>
      <c r="H51" s="112">
        <v>0</v>
      </c>
      <c r="I51" s="32">
        <v>21</v>
      </c>
      <c r="J51" s="31">
        <f>ROUND(G51*AO51,2)</f>
        <v>0</v>
      </c>
      <c r="K51" s="31">
        <f>ROUND(G51*AP51,2)</f>
        <v>0</v>
      </c>
      <c r="L51" s="31">
        <f>ROUND(G51*H51,2)</f>
        <v>0</v>
      </c>
      <c r="M51" s="31">
        <f>L51*(1+BW51/100)</f>
        <v>0</v>
      </c>
      <c r="N51" s="31">
        <v>4.8000000000000001E-4</v>
      </c>
      <c r="O51" s="31">
        <f>G51*N51</f>
        <v>9.6000000000000009E-3</v>
      </c>
      <c r="P51" s="33" t="s">
        <v>61</v>
      </c>
      <c r="Z51" s="31">
        <f>ROUND(IF(AQ51="5",BJ51,0),2)</f>
        <v>0</v>
      </c>
      <c r="AB51" s="31">
        <f>ROUND(IF(AQ51="1",BH51,0),2)</f>
        <v>0</v>
      </c>
      <c r="AC51" s="31">
        <f>ROUND(IF(AQ51="1",BI51,0),2)</f>
        <v>0</v>
      </c>
      <c r="AD51" s="31">
        <f>ROUND(IF(AQ51="7",BH51,0),2)</f>
        <v>0</v>
      </c>
      <c r="AE51" s="31">
        <f>ROUND(IF(AQ51="7",BI51,0),2)</f>
        <v>0</v>
      </c>
      <c r="AF51" s="31">
        <f>ROUND(IF(AQ51="2",BH51,0),2)</f>
        <v>0</v>
      </c>
      <c r="AG51" s="31">
        <f>ROUND(IF(AQ51="2",BI51,0),2)</f>
        <v>0</v>
      </c>
      <c r="AH51" s="31">
        <f>ROUND(IF(AQ51="0",BJ51,0),2)</f>
        <v>0</v>
      </c>
      <c r="AI51" s="12" t="s">
        <v>54</v>
      </c>
      <c r="AJ51" s="31">
        <f>IF(AN51=0,L51,0)</f>
        <v>0</v>
      </c>
      <c r="AK51" s="31">
        <f>IF(AN51=15,L51,0)</f>
        <v>0</v>
      </c>
      <c r="AL51" s="31">
        <f>IF(AN51=21,L51,0)</f>
        <v>0</v>
      </c>
      <c r="AN51" s="31">
        <v>21</v>
      </c>
      <c r="AO51" s="31">
        <f>H51*0.387549947</f>
        <v>0</v>
      </c>
      <c r="AP51" s="31">
        <f>H51*(1-0.387549947)</f>
        <v>0</v>
      </c>
      <c r="AQ51" s="34" t="s">
        <v>87</v>
      </c>
      <c r="AV51" s="31">
        <f>ROUND(AW51+AX51,2)</f>
        <v>0</v>
      </c>
      <c r="AW51" s="31">
        <f>ROUND(G51*AO51,2)</f>
        <v>0</v>
      </c>
      <c r="AX51" s="31">
        <f>ROUND(G51*AP51,2)</f>
        <v>0</v>
      </c>
      <c r="AY51" s="34" t="s">
        <v>141</v>
      </c>
      <c r="AZ51" s="34" t="s">
        <v>142</v>
      </c>
      <c r="BA51" s="12" t="s">
        <v>64</v>
      </c>
      <c r="BC51" s="31">
        <f>AW51+AX51</f>
        <v>0</v>
      </c>
      <c r="BD51" s="31">
        <f>H51/(100-BE51)*100</f>
        <v>0</v>
      </c>
      <c r="BE51" s="31">
        <v>0</v>
      </c>
      <c r="BF51" s="31">
        <f>O51</f>
        <v>9.6000000000000009E-3</v>
      </c>
      <c r="BH51" s="31">
        <f>G51*AO51</f>
        <v>0</v>
      </c>
      <c r="BI51" s="31">
        <f>G51*AP51</f>
        <v>0</v>
      </c>
      <c r="BJ51" s="31">
        <f>G51*H51</f>
        <v>0</v>
      </c>
      <c r="BK51" s="31"/>
      <c r="BL51" s="31">
        <v>783</v>
      </c>
      <c r="BW51" s="31">
        <f>I51</f>
        <v>21</v>
      </c>
      <c r="BX51" s="5" t="s">
        <v>158</v>
      </c>
    </row>
    <row r="52" spans="1:76" x14ac:dyDescent="0.25">
      <c r="A52" s="35" t="s">
        <v>54</v>
      </c>
      <c r="B52" s="36" t="s">
        <v>54</v>
      </c>
      <c r="C52" s="36" t="s">
        <v>159</v>
      </c>
      <c r="D52" s="208" t="s">
        <v>160</v>
      </c>
      <c r="E52" s="209"/>
      <c r="F52" s="38" t="s">
        <v>4</v>
      </c>
      <c r="G52" s="38" t="s">
        <v>4</v>
      </c>
      <c r="H52" s="110" t="s">
        <v>4</v>
      </c>
      <c r="I52" s="38" t="s">
        <v>4</v>
      </c>
      <c r="J52" s="1">
        <f>SUM(J53:J57)</f>
        <v>0</v>
      </c>
      <c r="K52" s="1">
        <f>SUM(K53:K57)</f>
        <v>0</v>
      </c>
      <c r="L52" s="1">
        <f>SUM(L53:L57)</f>
        <v>0</v>
      </c>
      <c r="M52" s="1">
        <f>SUM(M53:M57)</f>
        <v>0</v>
      </c>
      <c r="N52" s="12" t="s">
        <v>54</v>
      </c>
      <c r="O52" s="1">
        <f>SUM(O53:O57)</f>
        <v>0.16125599999999998</v>
      </c>
      <c r="P52" s="39" t="s">
        <v>54</v>
      </c>
      <c r="AI52" s="12" t="s">
        <v>54</v>
      </c>
      <c r="AS52" s="1">
        <f>SUM(AJ53:AJ57)</f>
        <v>0</v>
      </c>
      <c r="AT52" s="1">
        <f>SUM(AK53:AK57)</f>
        <v>0</v>
      </c>
      <c r="AU52" s="1">
        <f>SUM(AL53:AL57)</f>
        <v>0</v>
      </c>
    </row>
    <row r="53" spans="1:76" x14ac:dyDescent="0.25">
      <c r="A53" s="48" t="s">
        <v>161</v>
      </c>
      <c r="B53" s="49" t="s">
        <v>54</v>
      </c>
      <c r="C53" s="49" t="s">
        <v>162</v>
      </c>
      <c r="D53" s="210" t="s">
        <v>163</v>
      </c>
      <c r="E53" s="211"/>
      <c r="F53" s="49" t="s">
        <v>80</v>
      </c>
      <c r="G53" s="50">
        <v>34.799999999999997</v>
      </c>
      <c r="H53" s="112">
        <v>0</v>
      </c>
      <c r="I53" s="51">
        <v>21</v>
      </c>
      <c r="J53" s="50">
        <f>ROUND(G53*AO53,2)</f>
        <v>0</v>
      </c>
      <c r="K53" s="50">
        <f>ROUND(G53*AP53,2)</f>
        <v>0</v>
      </c>
      <c r="L53" s="50">
        <f>ROUND(G53*H53,2)</f>
        <v>0</v>
      </c>
      <c r="M53" s="50">
        <f>L53*(1+BW53/100)</f>
        <v>0</v>
      </c>
      <c r="N53" s="50">
        <v>4.2199999999999998E-3</v>
      </c>
      <c r="O53" s="50">
        <f>G53*N53</f>
        <v>0.14685599999999999</v>
      </c>
      <c r="P53" s="52" t="s">
        <v>61</v>
      </c>
      <c r="Z53" s="31">
        <f>ROUND(IF(AQ53="5",BJ53,0),2)</f>
        <v>0</v>
      </c>
      <c r="AB53" s="31">
        <f>ROUND(IF(AQ53="1",BH53,0),2)</f>
        <v>0</v>
      </c>
      <c r="AC53" s="31">
        <f>ROUND(IF(AQ53="1",BI53,0),2)</f>
        <v>0</v>
      </c>
      <c r="AD53" s="31">
        <f>ROUND(IF(AQ53="7",BH53,0),2)</f>
        <v>0</v>
      </c>
      <c r="AE53" s="31">
        <f>ROUND(IF(AQ53="7",BI53,0),2)</f>
        <v>0</v>
      </c>
      <c r="AF53" s="31">
        <f>ROUND(IF(AQ53="2",BH53,0),2)</f>
        <v>0</v>
      </c>
      <c r="AG53" s="31">
        <f>ROUND(IF(AQ53="2",BI53,0),2)</f>
        <v>0</v>
      </c>
      <c r="AH53" s="31">
        <f>ROUND(IF(AQ53="0",BJ53,0),2)</f>
        <v>0</v>
      </c>
      <c r="AI53" s="12" t="s">
        <v>54</v>
      </c>
      <c r="AJ53" s="31">
        <f>IF(AN53=0,L53,0)</f>
        <v>0</v>
      </c>
      <c r="AK53" s="31">
        <f>IF(AN53=15,L53,0)</f>
        <v>0</v>
      </c>
      <c r="AL53" s="31">
        <f>IF(AN53=21,L53,0)</f>
        <v>0</v>
      </c>
      <c r="AN53" s="31">
        <v>21</v>
      </c>
      <c r="AO53" s="31">
        <f>H53*1</f>
        <v>0</v>
      </c>
      <c r="AP53" s="31">
        <f>H53*(1-1)</f>
        <v>0</v>
      </c>
      <c r="AQ53" s="34" t="s">
        <v>57</v>
      </c>
      <c r="AV53" s="31">
        <f>ROUND(AW53+AX53,2)</f>
        <v>0</v>
      </c>
      <c r="AW53" s="31">
        <f>ROUND(G53*AO53,2)</f>
        <v>0</v>
      </c>
      <c r="AX53" s="31">
        <f>ROUND(G53*AP53,2)</f>
        <v>0</v>
      </c>
      <c r="AY53" s="34" t="s">
        <v>164</v>
      </c>
      <c r="AZ53" s="34" t="s">
        <v>165</v>
      </c>
      <c r="BA53" s="12" t="s">
        <v>64</v>
      </c>
      <c r="BC53" s="31">
        <f>AW53+AX53</f>
        <v>0</v>
      </c>
      <c r="BD53" s="31">
        <f>H53/(100-BE53)*100</f>
        <v>0</v>
      </c>
      <c r="BE53" s="31">
        <v>0</v>
      </c>
      <c r="BF53" s="31">
        <f>O53</f>
        <v>0.14685599999999999</v>
      </c>
      <c r="BH53" s="31">
        <f>G53*AO53</f>
        <v>0</v>
      </c>
      <c r="BI53" s="31">
        <f>G53*AP53</f>
        <v>0</v>
      </c>
      <c r="BJ53" s="31">
        <f>G53*H53</f>
        <v>0</v>
      </c>
      <c r="BK53" s="31"/>
      <c r="BL53" s="31"/>
      <c r="BW53" s="31">
        <f>I53</f>
        <v>21</v>
      </c>
      <c r="BX53" s="5" t="s">
        <v>163</v>
      </c>
    </row>
    <row r="54" spans="1:76" x14ac:dyDescent="0.25">
      <c r="A54" s="40"/>
      <c r="C54" s="41" t="s">
        <v>76</v>
      </c>
      <c r="D54" s="204" t="s">
        <v>277</v>
      </c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6"/>
      <c r="BX54" s="42" t="s">
        <v>166</v>
      </c>
    </row>
    <row r="55" spans="1:76" x14ac:dyDescent="0.25">
      <c r="A55" s="2" t="s">
        <v>167</v>
      </c>
      <c r="B55" s="3" t="s">
        <v>54</v>
      </c>
      <c r="C55" s="3" t="s">
        <v>168</v>
      </c>
      <c r="D55" s="121" t="s">
        <v>169</v>
      </c>
      <c r="E55" s="122"/>
      <c r="F55" s="3" t="s">
        <v>120</v>
      </c>
      <c r="G55" s="31">
        <v>265</v>
      </c>
      <c r="H55" s="112">
        <v>0</v>
      </c>
      <c r="I55" s="32">
        <v>21</v>
      </c>
      <c r="J55" s="31">
        <f>ROUND(G55*AO55,2)</f>
        <v>0</v>
      </c>
      <c r="K55" s="31">
        <f>ROUND(G55*AP55,2)</f>
        <v>0</v>
      </c>
      <c r="L55" s="31">
        <f>ROUND(G55*H55,2)</f>
        <v>0</v>
      </c>
      <c r="M55" s="31">
        <f>L55*(1+BW55/100)</f>
        <v>0</v>
      </c>
      <c r="N55" s="31">
        <v>0</v>
      </c>
      <c r="O55" s="31">
        <f>G55*N55</f>
        <v>0</v>
      </c>
      <c r="P55" s="33" t="s">
        <v>61</v>
      </c>
      <c r="Z55" s="31">
        <f>ROUND(IF(AQ55="5",BJ55,0),2)</f>
        <v>0</v>
      </c>
      <c r="AB55" s="31">
        <f>ROUND(IF(AQ55="1",BH55,0),2)</f>
        <v>0</v>
      </c>
      <c r="AC55" s="31">
        <f>ROUND(IF(AQ55="1",BI55,0),2)</f>
        <v>0</v>
      </c>
      <c r="AD55" s="31">
        <f>ROUND(IF(AQ55="7",BH55,0),2)</f>
        <v>0</v>
      </c>
      <c r="AE55" s="31">
        <f>ROUND(IF(AQ55="7",BI55,0),2)</f>
        <v>0</v>
      </c>
      <c r="AF55" s="31">
        <f>ROUND(IF(AQ55="2",BH55,0),2)</f>
        <v>0</v>
      </c>
      <c r="AG55" s="31">
        <f>ROUND(IF(AQ55="2",BI55,0),2)</f>
        <v>0</v>
      </c>
      <c r="AH55" s="31">
        <f>ROUND(IF(AQ55="0",BJ55,0),2)</f>
        <v>0</v>
      </c>
      <c r="AI55" s="12" t="s">
        <v>54</v>
      </c>
      <c r="AJ55" s="31">
        <f>IF(AN55=0,L55,0)</f>
        <v>0</v>
      </c>
      <c r="AK55" s="31">
        <f>IF(AN55=15,L55,0)</f>
        <v>0</v>
      </c>
      <c r="AL55" s="31">
        <f>IF(AN55=21,L55,0)</f>
        <v>0</v>
      </c>
      <c r="AN55" s="31">
        <v>21</v>
      </c>
      <c r="AO55" s="31">
        <f>H55*0.033928571</f>
        <v>0</v>
      </c>
      <c r="AP55" s="31">
        <f>H55*(1-0.033928571)</f>
        <v>0</v>
      </c>
      <c r="AQ55" s="34" t="s">
        <v>65</v>
      </c>
      <c r="AV55" s="31">
        <f>ROUND(AW55+AX55,2)</f>
        <v>0</v>
      </c>
      <c r="AW55" s="31">
        <f>ROUND(G55*AO55,2)</f>
        <v>0</v>
      </c>
      <c r="AX55" s="31">
        <f>ROUND(G55*AP55,2)</f>
        <v>0</v>
      </c>
      <c r="AY55" s="34" t="s">
        <v>164</v>
      </c>
      <c r="AZ55" s="34" t="s">
        <v>165</v>
      </c>
      <c r="BA55" s="12" t="s">
        <v>64</v>
      </c>
      <c r="BC55" s="31">
        <f>AW55+AX55</f>
        <v>0</v>
      </c>
      <c r="BD55" s="31">
        <f>H55/(100-BE55)*100</f>
        <v>0</v>
      </c>
      <c r="BE55" s="31">
        <v>0</v>
      </c>
      <c r="BF55" s="31">
        <f>O55</f>
        <v>0</v>
      </c>
      <c r="BH55" s="31">
        <f>G55*AO55</f>
        <v>0</v>
      </c>
      <c r="BI55" s="31">
        <f>G55*AP55</f>
        <v>0</v>
      </c>
      <c r="BJ55" s="31">
        <f>G55*H55</f>
        <v>0</v>
      </c>
      <c r="BK55" s="31"/>
      <c r="BL55" s="31"/>
      <c r="BW55" s="31">
        <f>I55</f>
        <v>21</v>
      </c>
      <c r="BX55" s="5" t="s">
        <v>169</v>
      </c>
    </row>
    <row r="56" spans="1:76" ht="25.5" x14ac:dyDescent="0.25">
      <c r="A56" s="40"/>
      <c r="C56" s="41" t="s">
        <v>76</v>
      </c>
      <c r="D56" s="207" t="s">
        <v>170</v>
      </c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6"/>
      <c r="BX56" s="42" t="s">
        <v>170</v>
      </c>
    </row>
    <row r="57" spans="1:76" x14ac:dyDescent="0.25">
      <c r="A57" s="2" t="s">
        <v>171</v>
      </c>
      <c r="B57" s="3" t="s">
        <v>54</v>
      </c>
      <c r="C57" s="3" t="s">
        <v>172</v>
      </c>
      <c r="D57" s="121" t="s">
        <v>173</v>
      </c>
      <c r="E57" s="122"/>
      <c r="F57" s="3" t="s">
        <v>174</v>
      </c>
      <c r="G57" s="31">
        <v>60</v>
      </c>
      <c r="H57" s="112">
        <v>0</v>
      </c>
      <c r="I57" s="32">
        <v>21</v>
      </c>
      <c r="J57" s="31">
        <f>ROUND(G57*AO57,2)</f>
        <v>0</v>
      </c>
      <c r="K57" s="31">
        <f>ROUND(G57*AP57,2)</f>
        <v>0</v>
      </c>
      <c r="L57" s="31">
        <f>ROUND(G57*H57,2)</f>
        <v>0</v>
      </c>
      <c r="M57" s="31">
        <f>L57*(1+BW57/100)</f>
        <v>0</v>
      </c>
      <c r="N57" s="31">
        <v>2.4000000000000001E-4</v>
      </c>
      <c r="O57" s="31">
        <f>G57*N57</f>
        <v>1.44E-2</v>
      </c>
      <c r="P57" s="33" t="s">
        <v>61</v>
      </c>
      <c r="Z57" s="31">
        <f>ROUND(IF(AQ57="5",BJ57,0),2)</f>
        <v>0</v>
      </c>
      <c r="AB57" s="31">
        <f>ROUND(IF(AQ57="1",BH57,0),2)</f>
        <v>0</v>
      </c>
      <c r="AC57" s="31">
        <f>ROUND(IF(AQ57="1",BI57,0),2)</f>
        <v>0</v>
      </c>
      <c r="AD57" s="31">
        <f>ROUND(IF(AQ57="7",BH57,0),2)</f>
        <v>0</v>
      </c>
      <c r="AE57" s="31">
        <f>ROUND(IF(AQ57="7",BI57,0),2)</f>
        <v>0</v>
      </c>
      <c r="AF57" s="31">
        <f>ROUND(IF(AQ57="2",BH57,0),2)</f>
        <v>0</v>
      </c>
      <c r="AG57" s="31">
        <f>ROUND(IF(AQ57="2",BI57,0),2)</f>
        <v>0</v>
      </c>
      <c r="AH57" s="31">
        <f>ROUND(IF(AQ57="0",BJ57,0),2)</f>
        <v>0</v>
      </c>
      <c r="AI57" s="12" t="s">
        <v>54</v>
      </c>
      <c r="AJ57" s="31">
        <f>IF(AN57=0,L57,0)</f>
        <v>0</v>
      </c>
      <c r="AK57" s="31">
        <f>IF(AN57=15,L57,0)</f>
        <v>0</v>
      </c>
      <c r="AL57" s="31">
        <f>IF(AN57=21,L57,0)</f>
        <v>0</v>
      </c>
      <c r="AN57" s="31">
        <v>21</v>
      </c>
      <c r="AO57" s="31">
        <f>H57*0.343556405</f>
        <v>0</v>
      </c>
      <c r="AP57" s="31">
        <f>H57*(1-0.343556405)</f>
        <v>0</v>
      </c>
      <c r="AQ57" s="34" t="s">
        <v>57</v>
      </c>
      <c r="AV57" s="31">
        <f>ROUND(AW57+AX57,2)</f>
        <v>0</v>
      </c>
      <c r="AW57" s="31">
        <f>ROUND(G57*AO57,2)</f>
        <v>0</v>
      </c>
      <c r="AX57" s="31">
        <f>ROUND(G57*AP57,2)</f>
        <v>0</v>
      </c>
      <c r="AY57" s="34" t="s">
        <v>164</v>
      </c>
      <c r="AZ57" s="34" t="s">
        <v>165</v>
      </c>
      <c r="BA57" s="12" t="s">
        <v>64</v>
      </c>
      <c r="BC57" s="31">
        <f>AW57+AX57</f>
        <v>0</v>
      </c>
      <c r="BD57" s="31">
        <f>H57/(100-BE57)*100</f>
        <v>0</v>
      </c>
      <c r="BE57" s="31">
        <v>0</v>
      </c>
      <c r="BF57" s="31">
        <f>O57</f>
        <v>1.44E-2</v>
      </c>
      <c r="BH57" s="31">
        <f>G57*AO57</f>
        <v>0</v>
      </c>
      <c r="BI57" s="31">
        <f>G57*AP57</f>
        <v>0</v>
      </c>
      <c r="BJ57" s="31">
        <f>G57*H57</f>
        <v>0</v>
      </c>
      <c r="BK57" s="31"/>
      <c r="BL57" s="31"/>
      <c r="BW57" s="31">
        <f>I57</f>
        <v>21</v>
      </c>
      <c r="BX57" s="5" t="s">
        <v>173</v>
      </c>
    </row>
    <row r="58" spans="1:76" x14ac:dyDescent="0.25">
      <c r="A58" s="35" t="s">
        <v>54</v>
      </c>
      <c r="B58" s="36" t="s">
        <v>54</v>
      </c>
      <c r="C58" s="36" t="s">
        <v>175</v>
      </c>
      <c r="D58" s="208" t="s">
        <v>176</v>
      </c>
      <c r="E58" s="209"/>
      <c r="F58" s="38" t="s">
        <v>4</v>
      </c>
      <c r="G58" s="38" t="s">
        <v>4</v>
      </c>
      <c r="H58" s="110" t="s">
        <v>4</v>
      </c>
      <c r="I58" s="38" t="s">
        <v>4</v>
      </c>
      <c r="J58" s="1">
        <f>SUM(J59:J59)</f>
        <v>0</v>
      </c>
      <c r="K58" s="1">
        <f>SUM(K59:K59)</f>
        <v>0</v>
      </c>
      <c r="L58" s="1">
        <f>SUM(L59:L59)</f>
        <v>0</v>
      </c>
      <c r="M58" s="1">
        <f>SUM(M59:M59)</f>
        <v>0</v>
      </c>
      <c r="N58" s="12" t="s">
        <v>54</v>
      </c>
      <c r="O58" s="1">
        <f>SUM(O59:O59)</f>
        <v>0.16</v>
      </c>
      <c r="P58" s="39" t="s">
        <v>54</v>
      </c>
      <c r="AI58" s="12" t="s">
        <v>54</v>
      </c>
      <c r="AS58" s="1">
        <f>SUM(AJ59:AJ59)</f>
        <v>0</v>
      </c>
      <c r="AT58" s="1">
        <f>SUM(AK59:AK59)</f>
        <v>0</v>
      </c>
      <c r="AU58" s="1">
        <f>SUM(AL59:AL59)</f>
        <v>0</v>
      </c>
    </row>
    <row r="59" spans="1:76" x14ac:dyDescent="0.25">
      <c r="A59" s="43" t="s">
        <v>177</v>
      </c>
      <c r="B59" s="44" t="s">
        <v>54</v>
      </c>
      <c r="C59" s="44" t="s">
        <v>178</v>
      </c>
      <c r="D59" s="198" t="s">
        <v>179</v>
      </c>
      <c r="E59" s="199"/>
      <c r="F59" s="44" t="s">
        <v>120</v>
      </c>
      <c r="G59" s="45">
        <v>160</v>
      </c>
      <c r="H59" s="112">
        <v>0</v>
      </c>
      <c r="I59" s="46">
        <v>21</v>
      </c>
      <c r="J59" s="45">
        <f>ROUND(G59*AO59,2)</f>
        <v>0</v>
      </c>
      <c r="K59" s="45">
        <f>ROUND(G59*AP59,2)</f>
        <v>0</v>
      </c>
      <c r="L59" s="45">
        <f>ROUND(G59*H59,2)</f>
        <v>0</v>
      </c>
      <c r="M59" s="45">
        <f>L59*(1+BW59/100)</f>
        <v>0</v>
      </c>
      <c r="N59" s="45">
        <v>1E-3</v>
      </c>
      <c r="O59" s="45">
        <f>G59*N59</f>
        <v>0.16</v>
      </c>
      <c r="P59" s="47" t="s">
        <v>61</v>
      </c>
      <c r="Z59" s="31">
        <f>ROUND(IF(AQ59="5",BJ59,0),2)</f>
        <v>0</v>
      </c>
      <c r="AB59" s="31">
        <f>ROUND(IF(AQ59="1",BH59,0),2)</f>
        <v>0</v>
      </c>
      <c r="AC59" s="31">
        <f>ROUND(IF(AQ59="1",BI59,0),2)</f>
        <v>0</v>
      </c>
      <c r="AD59" s="31">
        <f>ROUND(IF(AQ59="7",BH59,0),2)</f>
        <v>0</v>
      </c>
      <c r="AE59" s="31">
        <f>ROUND(IF(AQ59="7",BI59,0),2)</f>
        <v>0</v>
      </c>
      <c r="AF59" s="31">
        <f>ROUND(IF(AQ59="2",BH59,0),2)</f>
        <v>0</v>
      </c>
      <c r="AG59" s="31">
        <f>ROUND(IF(AQ59="2",BI59,0),2)</f>
        <v>0</v>
      </c>
      <c r="AH59" s="31">
        <f>ROUND(IF(AQ59="0",BJ59,0),2)</f>
        <v>0</v>
      </c>
      <c r="AI59" s="12" t="s">
        <v>54</v>
      </c>
      <c r="AJ59" s="31">
        <f>IF(AN59=0,L59,0)</f>
        <v>0</v>
      </c>
      <c r="AK59" s="31">
        <f>IF(AN59=15,L59,0)</f>
        <v>0</v>
      </c>
      <c r="AL59" s="31">
        <f>IF(AN59=21,L59,0)</f>
        <v>0</v>
      </c>
      <c r="AN59" s="31">
        <v>21</v>
      </c>
      <c r="AO59" s="31">
        <f>H59*1</f>
        <v>0</v>
      </c>
      <c r="AP59" s="31">
        <f>H59*(1-1)</f>
        <v>0</v>
      </c>
      <c r="AQ59" s="34" t="s">
        <v>180</v>
      </c>
      <c r="AV59" s="31">
        <f>ROUND(AW59+AX59,2)</f>
        <v>0</v>
      </c>
      <c r="AW59" s="31">
        <f>ROUND(G59*AO59,2)</f>
        <v>0</v>
      </c>
      <c r="AX59" s="31">
        <f>ROUND(G59*AP59,2)</f>
        <v>0</v>
      </c>
      <c r="AY59" s="34" t="s">
        <v>181</v>
      </c>
      <c r="AZ59" s="34" t="s">
        <v>182</v>
      </c>
      <c r="BA59" s="12" t="s">
        <v>64</v>
      </c>
      <c r="BC59" s="31">
        <f>AW59+AX59</f>
        <v>0</v>
      </c>
      <c r="BD59" s="31">
        <f>H59/(100-BE59)*100</f>
        <v>0</v>
      </c>
      <c r="BE59" s="31">
        <v>0</v>
      </c>
      <c r="BF59" s="31">
        <f>O59</f>
        <v>0.16</v>
      </c>
      <c r="BH59" s="31">
        <f>G59*AO59</f>
        <v>0</v>
      </c>
      <c r="BI59" s="31">
        <f>G59*AP59</f>
        <v>0</v>
      </c>
      <c r="BJ59" s="31">
        <f>G59*H59</f>
        <v>0</v>
      </c>
      <c r="BK59" s="31"/>
      <c r="BL59" s="31"/>
      <c r="BW59" s="31">
        <f>I59</f>
        <v>21</v>
      </c>
      <c r="BX59" s="5" t="s">
        <v>179</v>
      </c>
    </row>
    <row r="60" spans="1:76" x14ac:dyDescent="0.25">
      <c r="A60" s="53"/>
      <c r="B60" s="54"/>
      <c r="C60" s="55"/>
      <c r="D60" s="200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2"/>
      <c r="BX60" s="42"/>
    </row>
    <row r="61" spans="1:76" x14ac:dyDescent="0.25">
      <c r="J61" s="203" t="s">
        <v>183</v>
      </c>
      <c r="K61" s="203"/>
      <c r="L61" s="57">
        <f>ROUND(L12+L15+L24+L32+L44+L52+L58,2)</f>
        <v>0</v>
      </c>
      <c r="M61" s="57">
        <f>ROUND(M12+M15+M24+M32+M44+M52+M58,2)</f>
        <v>0</v>
      </c>
    </row>
    <row r="62" spans="1:76" x14ac:dyDescent="0.25">
      <c r="A62" s="58" t="s">
        <v>184</v>
      </c>
    </row>
    <row r="63" spans="1:76" ht="12.75" customHeight="1" x14ac:dyDescent="0.25">
      <c r="A63" s="121" t="s">
        <v>54</v>
      </c>
      <c r="B63" s="122"/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</row>
  </sheetData>
  <sheetProtection algorithmName="SHA-512" hashValue="ncxHvetLzCByGPnRD9lbar5ja/ObMeHCeCdtxrNIDdM/eaxyRW20logkGEKKu/LdkLWBYFoqgi7qWPXv3PxQBQ==" saltValue="9vww408OywT3HgvkdrcJCQ==" spinCount="100000" sheet="1" objects="1" scenarios="1"/>
  <mergeCells count="80">
    <mergeCell ref="A1:P1"/>
    <mergeCell ref="A2:C3"/>
    <mergeCell ref="A4:C5"/>
    <mergeCell ref="A6:C7"/>
    <mergeCell ref="A8:C9"/>
    <mergeCell ref="F2:G3"/>
    <mergeCell ref="F4:G5"/>
    <mergeCell ref="F6:G7"/>
    <mergeCell ref="F8:G9"/>
    <mergeCell ref="I2:I3"/>
    <mergeCell ref="I4:I5"/>
    <mergeCell ref="I6:I7"/>
    <mergeCell ref="I8:I9"/>
    <mergeCell ref="D2:E3"/>
    <mergeCell ref="D4:E5"/>
    <mergeCell ref="D6:E7"/>
    <mergeCell ref="J2:P3"/>
    <mergeCell ref="J4:P5"/>
    <mergeCell ref="J6:P7"/>
    <mergeCell ref="J8:P9"/>
    <mergeCell ref="D10:E10"/>
    <mergeCell ref="D8:E9"/>
    <mergeCell ref="H2:H3"/>
    <mergeCell ref="H4:H5"/>
    <mergeCell ref="H6:H7"/>
    <mergeCell ref="H8:H9"/>
    <mergeCell ref="D11:E11"/>
    <mergeCell ref="J10:L10"/>
    <mergeCell ref="N10:O10"/>
    <mergeCell ref="D12:E12"/>
    <mergeCell ref="D13:E13"/>
    <mergeCell ref="D14:E14"/>
    <mergeCell ref="D15:E15"/>
    <mergeCell ref="D16:E16"/>
    <mergeCell ref="D17:P17"/>
    <mergeCell ref="D18:E18"/>
    <mergeCell ref="D19:E19"/>
    <mergeCell ref="D20:E20"/>
    <mergeCell ref="D21:E21"/>
    <mergeCell ref="D22:P22"/>
    <mergeCell ref="D23:E23"/>
    <mergeCell ref="D24:E24"/>
    <mergeCell ref="D25:E25"/>
    <mergeCell ref="D26:E26"/>
    <mergeCell ref="D27:P27"/>
    <mergeCell ref="D28:E28"/>
    <mergeCell ref="D29:E29"/>
    <mergeCell ref="D30:E30"/>
    <mergeCell ref="D31:P31"/>
    <mergeCell ref="D32:E32"/>
    <mergeCell ref="D33:E33"/>
    <mergeCell ref="D34:E34"/>
    <mergeCell ref="D35:P35"/>
    <mergeCell ref="D36:E36"/>
    <mergeCell ref="D37:P37"/>
    <mergeCell ref="D38:E38"/>
    <mergeCell ref="D39:P39"/>
    <mergeCell ref="D40:E40"/>
    <mergeCell ref="D41:P41"/>
    <mergeCell ref="D42:E42"/>
    <mergeCell ref="D43:P43"/>
    <mergeCell ref="D44:E44"/>
    <mergeCell ref="D45:E45"/>
    <mergeCell ref="D46:E46"/>
    <mergeCell ref="D47:E47"/>
    <mergeCell ref="D48:E48"/>
    <mergeCell ref="D49:P49"/>
    <mergeCell ref="D50:E50"/>
    <mergeCell ref="D51:E51"/>
    <mergeCell ref="D52:E52"/>
    <mergeCell ref="D53:E53"/>
    <mergeCell ref="D59:E59"/>
    <mergeCell ref="D60:P60"/>
    <mergeCell ref="J61:K61"/>
    <mergeCell ref="A63:P63"/>
    <mergeCell ref="D54:P54"/>
    <mergeCell ref="D55:E55"/>
    <mergeCell ref="D56:P56"/>
    <mergeCell ref="D57:E57"/>
    <mergeCell ref="D58:E58"/>
  </mergeCells>
  <pageMargins left="0.393999993801117" right="0.393999993801117" top="0.59100002050399802" bottom="0.59100002050399802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T70"/>
  <sheetViews>
    <sheetView workbookViewId="0">
      <selection activeCell="M12" sqref="M12"/>
    </sheetView>
  </sheetViews>
  <sheetFormatPr defaultColWidth="12.140625" defaultRowHeight="15" customHeight="1" x14ac:dyDescent="0.25"/>
  <cols>
    <col min="1" max="1" width="4.28515625" customWidth="1"/>
    <col min="2" max="2" width="17.140625" customWidth="1"/>
    <col min="3" max="3" width="71.42578125" customWidth="1"/>
    <col min="4" max="4" width="15.7109375" customWidth="1"/>
    <col min="5" max="5" width="12.140625" customWidth="1"/>
    <col min="6" max="6" width="47.140625" customWidth="1"/>
    <col min="7" max="7" width="12.85546875" customWidth="1"/>
    <col min="8" max="11" width="22.85546875" customWidth="1"/>
    <col min="12" max="12" width="23.5703125" customWidth="1"/>
    <col min="13" max="13" width="22.140625" customWidth="1"/>
    <col min="230" max="231" width="12.140625" hidden="1"/>
    <col min="251" max="254" width="12.140625" hidden="1"/>
  </cols>
  <sheetData>
    <row r="1" spans="1:253" ht="54.75" customHeight="1" x14ac:dyDescent="0.25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253" x14ac:dyDescent="0.25">
      <c r="A2" s="164" t="s">
        <v>1</v>
      </c>
      <c r="B2" s="165"/>
      <c r="C2" s="170" t="str">
        <f>'Stavební rozpočet'!D2</f>
        <v>Oprava rampy a příchozí zpevněné plochy u objektu</v>
      </c>
      <c r="D2" s="165" t="s">
        <v>3</v>
      </c>
      <c r="E2" s="161" t="str">
        <f>'Stavební rozpočet'!H2</f>
        <v xml:space="preserve"> </v>
      </c>
      <c r="F2" s="161" t="s">
        <v>5</v>
      </c>
      <c r="G2" s="161" t="str">
        <f>'Stavební rozpočet'!J2</f>
        <v> </v>
      </c>
      <c r="H2" s="165"/>
      <c r="I2" s="165"/>
      <c r="J2" s="165"/>
      <c r="K2" s="165"/>
      <c r="L2" s="165"/>
      <c r="M2" s="167"/>
    </row>
    <row r="3" spans="1:253" ht="15" customHeight="1" x14ac:dyDescent="0.25">
      <c r="A3" s="166"/>
      <c r="B3" s="122"/>
      <c r="C3" s="172"/>
      <c r="D3" s="122"/>
      <c r="E3" s="122"/>
      <c r="F3" s="122"/>
      <c r="G3" s="122"/>
      <c r="H3" s="122"/>
      <c r="I3" s="122"/>
      <c r="J3" s="122"/>
      <c r="K3" s="122"/>
      <c r="L3" s="122"/>
      <c r="M3" s="168"/>
    </row>
    <row r="4" spans="1:253" x14ac:dyDescent="0.25">
      <c r="A4" s="159" t="s">
        <v>7</v>
      </c>
      <c r="B4" s="122"/>
      <c r="C4" s="121" t="str">
        <f>'Stavební rozpočet'!D4</f>
        <v>SO 01 Rampa</v>
      </c>
      <c r="D4" s="122" t="s">
        <v>9</v>
      </c>
      <c r="E4" s="121" t="str">
        <f>'Stavební rozpočet'!H4</f>
        <v>20.03.2025</v>
      </c>
      <c r="F4" s="121" t="s">
        <v>11</v>
      </c>
      <c r="G4" s="121" t="str">
        <f>'Stavební rozpočet'!J4</f>
        <v> </v>
      </c>
      <c r="H4" s="122"/>
      <c r="I4" s="122"/>
      <c r="J4" s="122"/>
      <c r="K4" s="122"/>
      <c r="L4" s="122"/>
      <c r="M4" s="168"/>
    </row>
    <row r="5" spans="1:253" ht="15" customHeight="1" x14ac:dyDescent="0.25">
      <c r="A5" s="166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68"/>
    </row>
    <row r="6" spans="1:253" x14ac:dyDescent="0.25">
      <c r="A6" s="159" t="s">
        <v>12</v>
      </c>
      <c r="B6" s="122"/>
      <c r="C6" s="121" t="str">
        <f>'Stavební rozpočet'!D6</f>
        <v>Kopřivnice</v>
      </c>
      <c r="D6" s="122" t="s">
        <v>14</v>
      </c>
      <c r="E6" s="121" t="str">
        <f>'Stavební rozpočet'!H6</f>
        <v xml:space="preserve"> </v>
      </c>
      <c r="F6" s="121" t="s">
        <v>15</v>
      </c>
      <c r="G6" s="121" t="str">
        <f>'Stavební rozpočet'!J6</f>
        <v> </v>
      </c>
      <c r="H6" s="122"/>
      <c r="I6" s="122"/>
      <c r="J6" s="122"/>
      <c r="K6" s="122"/>
      <c r="L6" s="122"/>
      <c r="M6" s="168"/>
    </row>
    <row r="7" spans="1:253" ht="15" customHeight="1" x14ac:dyDescent="0.25">
      <c r="A7" s="166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68"/>
    </row>
    <row r="8" spans="1:253" x14ac:dyDescent="0.25">
      <c r="A8" s="159" t="s">
        <v>16</v>
      </c>
      <c r="B8" s="122"/>
      <c r="C8" s="121" t="str">
        <f>'Stavební rozpočet'!D8</f>
        <v xml:space="preserve"> </v>
      </c>
      <c r="D8" s="122" t="s">
        <v>17</v>
      </c>
      <c r="E8" s="121" t="str">
        <f>'Stavební rozpočet'!H8</f>
        <v>20.03.2025</v>
      </c>
      <c r="F8" s="121" t="s">
        <v>18</v>
      </c>
      <c r="G8" s="121" t="str">
        <f>'Stavební rozpočet'!J8</f>
        <v>Radek Himlar</v>
      </c>
      <c r="H8" s="122"/>
      <c r="I8" s="122"/>
      <c r="J8" s="122"/>
      <c r="K8" s="122"/>
      <c r="L8" s="122"/>
      <c r="M8" s="168"/>
    </row>
    <row r="9" spans="1:253" x14ac:dyDescent="0.25">
      <c r="A9" s="160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4"/>
    </row>
    <row r="10" spans="1:253" x14ac:dyDescent="0.25">
      <c r="A10" s="61" t="s">
        <v>20</v>
      </c>
      <c r="B10" s="61" t="s">
        <v>22</v>
      </c>
      <c r="C10" s="61" t="s">
        <v>23</v>
      </c>
      <c r="D10" s="61" t="s">
        <v>24</v>
      </c>
      <c r="E10" s="61" t="s">
        <v>27</v>
      </c>
      <c r="F10" s="61" t="s">
        <v>34</v>
      </c>
      <c r="G10" s="61" t="s">
        <v>25</v>
      </c>
      <c r="H10" s="61" t="s">
        <v>185</v>
      </c>
      <c r="I10" s="61" t="s">
        <v>186</v>
      </c>
      <c r="J10" s="61" t="s">
        <v>187</v>
      </c>
      <c r="K10" s="61" t="s">
        <v>188</v>
      </c>
      <c r="L10" s="61" t="s">
        <v>189</v>
      </c>
      <c r="M10" s="62" t="s">
        <v>190</v>
      </c>
      <c r="HV10" s="63" t="s">
        <v>32</v>
      </c>
      <c r="HW10" s="63" t="s">
        <v>31</v>
      </c>
    </row>
    <row r="11" spans="1:253" x14ac:dyDescent="0.25">
      <c r="A11" s="64" t="s">
        <v>4</v>
      </c>
      <c r="B11" s="25" t="s">
        <v>55</v>
      </c>
      <c r="C11" s="26" t="s">
        <v>56</v>
      </c>
      <c r="D11" s="25" t="s">
        <v>4</v>
      </c>
      <c r="E11" s="29" t="s">
        <v>4</v>
      </c>
      <c r="F11" s="25" t="s">
        <v>4</v>
      </c>
      <c r="G11" s="29" t="s">
        <v>4</v>
      </c>
      <c r="H11" s="29" t="s">
        <v>4</v>
      </c>
      <c r="I11" s="28">
        <f>SUM(I12:I13)</f>
        <v>0</v>
      </c>
      <c r="J11" s="28">
        <f>SUM(J12:J13)</f>
        <v>0</v>
      </c>
      <c r="K11" s="28">
        <f>SUM(K12:K13)</f>
        <v>0</v>
      </c>
      <c r="L11" s="29" t="s">
        <v>4</v>
      </c>
      <c r="M11" s="65">
        <f>SUM(M12:M13)</f>
        <v>0</v>
      </c>
    </row>
    <row r="12" spans="1:253" x14ac:dyDescent="0.25">
      <c r="A12" s="66">
        <v>1</v>
      </c>
      <c r="B12" s="3" t="s">
        <v>58</v>
      </c>
      <c r="C12" s="5" t="s">
        <v>59</v>
      </c>
      <c r="D12" s="3" t="s">
        <v>60</v>
      </c>
      <c r="E12" s="32">
        <v>21</v>
      </c>
      <c r="F12" s="3" t="s">
        <v>191</v>
      </c>
      <c r="G12" s="31">
        <f>'Stavební rozpočet'!G13</f>
        <v>2</v>
      </c>
      <c r="H12" s="31">
        <f>'Stavební rozpočet'!H13</f>
        <v>0</v>
      </c>
      <c r="I12" s="31">
        <f>ROUND(IR12*G12,2)</f>
        <v>0</v>
      </c>
      <c r="J12" s="31">
        <f>ROUND(IS12*G12,2)</f>
        <v>0</v>
      </c>
      <c r="K12" s="31">
        <f>ROUND(IR12*G12+IS12*G12,2)</f>
        <v>0</v>
      </c>
      <c r="L12" s="31">
        <f>'Stavební rozpočet'!N13</f>
        <v>0</v>
      </c>
      <c r="M12" s="67">
        <f>L12*G12</f>
        <v>0</v>
      </c>
      <c r="HV12" s="3" t="s">
        <v>55</v>
      </c>
      <c r="HW12" s="3" t="s">
        <v>192</v>
      </c>
      <c r="IR12" s="68">
        <f>H12*0</f>
        <v>0</v>
      </c>
      <c r="IS12" s="68">
        <f>H12*(1-0)</f>
        <v>0</v>
      </c>
    </row>
    <row r="13" spans="1:253" x14ac:dyDescent="0.25">
      <c r="A13" s="66">
        <v>2</v>
      </c>
      <c r="B13" s="3" t="s">
        <v>66</v>
      </c>
      <c r="C13" s="5" t="s">
        <v>67</v>
      </c>
      <c r="D13" s="3" t="s">
        <v>60</v>
      </c>
      <c r="E13" s="32">
        <v>21</v>
      </c>
      <c r="F13" s="3" t="s">
        <v>65</v>
      </c>
      <c r="G13" s="31">
        <f>'Stavební rozpočet'!G14</f>
        <v>2</v>
      </c>
      <c r="H13" s="31">
        <f>'Stavební rozpočet'!H14</f>
        <v>0</v>
      </c>
      <c r="I13" s="31">
        <f>ROUND(IR13*G13,2)</f>
        <v>0</v>
      </c>
      <c r="J13" s="31">
        <f>ROUND(IS13*G13,2)</f>
        <v>0</v>
      </c>
      <c r="K13" s="31">
        <f>ROUND(IR13*G13+IS13*G13,2)</f>
        <v>0</v>
      </c>
      <c r="L13" s="31">
        <f>'Stavební rozpočet'!N14</f>
        <v>0</v>
      </c>
      <c r="M13" s="67">
        <f>L13*G13</f>
        <v>0</v>
      </c>
      <c r="HV13" s="3" t="s">
        <v>55</v>
      </c>
      <c r="HW13" s="3" t="s">
        <v>192</v>
      </c>
      <c r="IR13" s="68">
        <f>H13*0</f>
        <v>0</v>
      </c>
      <c r="IS13" s="68">
        <f>H13*(1-0)</f>
        <v>0</v>
      </c>
    </row>
    <row r="14" spans="1:253" x14ac:dyDescent="0.25">
      <c r="A14" s="69" t="s">
        <v>4</v>
      </c>
      <c r="B14" s="36" t="s">
        <v>68</v>
      </c>
      <c r="C14" s="37" t="s">
        <v>69</v>
      </c>
      <c r="D14" s="36" t="s">
        <v>4</v>
      </c>
      <c r="E14" s="12" t="s">
        <v>4</v>
      </c>
      <c r="F14" s="36" t="s">
        <v>4</v>
      </c>
      <c r="G14" s="12" t="s">
        <v>4</v>
      </c>
      <c r="H14" s="12" t="s">
        <v>4</v>
      </c>
      <c r="I14" s="1">
        <f>SUM(I15:I24)</f>
        <v>0</v>
      </c>
      <c r="J14" s="1">
        <f>SUM(J15:J24)</f>
        <v>0</v>
      </c>
      <c r="K14" s="1">
        <f>SUM(K15:K24)</f>
        <v>0</v>
      </c>
      <c r="L14" s="12" t="s">
        <v>4</v>
      </c>
      <c r="M14" s="70">
        <f>SUM(M15:M24)</f>
        <v>1.5889</v>
      </c>
    </row>
    <row r="15" spans="1:253" x14ac:dyDescent="0.25">
      <c r="A15" s="66">
        <v>3</v>
      </c>
      <c r="B15" s="3" t="s">
        <v>71</v>
      </c>
      <c r="C15" s="5" t="s">
        <v>72</v>
      </c>
      <c r="D15" s="3" t="s">
        <v>73</v>
      </c>
      <c r="E15" s="32">
        <v>21</v>
      </c>
      <c r="F15" s="3" t="s">
        <v>193</v>
      </c>
      <c r="G15" s="31">
        <f>'Stavební rozpočet'!G16</f>
        <v>25</v>
      </c>
      <c r="H15" s="31">
        <f>'Stavební rozpočet'!H16</f>
        <v>0</v>
      </c>
      <c r="I15" s="31">
        <f>ROUND(IR15*G15,2)</f>
        <v>0</v>
      </c>
      <c r="J15" s="31">
        <f>ROUND(IS15*G15,2)</f>
        <v>0</v>
      </c>
      <c r="K15" s="31">
        <f>ROUND(IR15*G15+IS15*G15,2)</f>
        <v>0</v>
      </c>
      <c r="L15" s="31">
        <f>'Stavební rozpočet'!N16</f>
        <v>3.82E-3</v>
      </c>
      <c r="M15" s="67">
        <f>L15*G15</f>
        <v>9.5500000000000002E-2</v>
      </c>
      <c r="HV15" s="3" t="s">
        <v>68</v>
      </c>
      <c r="HW15" s="3" t="s">
        <v>192</v>
      </c>
      <c r="IR15" s="68">
        <f>H15*0.298576909</f>
        <v>0</v>
      </c>
      <c r="IS15" s="68">
        <f>H15*(1-0.298576909)</f>
        <v>0</v>
      </c>
    </row>
    <row r="16" spans="1:253" x14ac:dyDescent="0.25">
      <c r="A16" s="166" t="s">
        <v>54</v>
      </c>
      <c r="B16" s="122"/>
      <c r="C16" s="122"/>
      <c r="D16" s="122"/>
      <c r="E16" s="122"/>
      <c r="F16" s="3" t="s">
        <v>194</v>
      </c>
      <c r="G16" s="31">
        <v>4</v>
      </c>
      <c r="H16" s="31">
        <f>'Stavební rozpočet'!H16</f>
        <v>0</v>
      </c>
      <c r="M16" s="71"/>
      <c r="HV16" s="3" t="s">
        <v>68</v>
      </c>
      <c r="HW16" s="3" t="s">
        <v>192</v>
      </c>
      <c r="IR16" s="68">
        <f>H16*0.298576909</f>
        <v>0</v>
      </c>
      <c r="IS16" s="68">
        <f>H16*(1-0.298576909)</f>
        <v>0</v>
      </c>
    </row>
    <row r="17" spans="1:253" ht="13.5" customHeight="1" x14ac:dyDescent="0.25">
      <c r="A17" s="228"/>
      <c r="B17" s="229"/>
      <c r="C17" s="207"/>
      <c r="D17" s="205"/>
      <c r="E17" s="205"/>
      <c r="F17" s="205"/>
      <c r="G17" s="205"/>
      <c r="H17" s="205"/>
      <c r="I17" s="205"/>
      <c r="J17" s="205"/>
      <c r="K17" s="205"/>
      <c r="L17" s="205"/>
      <c r="M17" s="206"/>
    </row>
    <row r="18" spans="1:253" x14ac:dyDescent="0.25">
      <c r="A18" s="66">
        <v>4</v>
      </c>
      <c r="B18" s="3" t="s">
        <v>78</v>
      </c>
      <c r="C18" s="5" t="s">
        <v>79</v>
      </c>
      <c r="D18" s="3" t="s">
        <v>80</v>
      </c>
      <c r="E18" s="32">
        <v>21</v>
      </c>
      <c r="F18" s="3" t="s">
        <v>153</v>
      </c>
      <c r="G18" s="31">
        <f>'Stavební rozpočet'!G18</f>
        <v>24</v>
      </c>
      <c r="H18" s="31">
        <f>'Stavební rozpočet'!H18</f>
        <v>0</v>
      </c>
      <c r="I18" s="31">
        <f>ROUND(IR18*G18,2)</f>
        <v>0</v>
      </c>
      <c r="J18" s="31">
        <f>ROUND(IS18*G18,2)</f>
        <v>0</v>
      </c>
      <c r="K18" s="31">
        <f>ROUND(IR18*G18+IS18*G18,2)</f>
        <v>0</v>
      </c>
      <c r="L18" s="31">
        <f>'Stavební rozpočet'!N18</f>
        <v>0</v>
      </c>
      <c r="M18" s="67">
        <f>L18*G18</f>
        <v>0</v>
      </c>
      <c r="HV18" s="3" t="s">
        <v>68</v>
      </c>
      <c r="HW18" s="3" t="s">
        <v>192</v>
      </c>
      <c r="IR18" s="68">
        <f>H18*0</f>
        <v>0</v>
      </c>
      <c r="IS18" s="68">
        <f>H18*(1-0)</f>
        <v>0</v>
      </c>
    </row>
    <row r="19" spans="1:253" x14ac:dyDescent="0.25">
      <c r="A19" s="66">
        <v>5</v>
      </c>
      <c r="B19" s="3" t="s">
        <v>82</v>
      </c>
      <c r="C19" s="5" t="s">
        <v>83</v>
      </c>
      <c r="D19" s="3" t="s">
        <v>80</v>
      </c>
      <c r="E19" s="32">
        <v>21</v>
      </c>
      <c r="F19" s="3" t="s">
        <v>153</v>
      </c>
      <c r="G19" s="31">
        <f>'Stavební rozpočet'!G19</f>
        <v>24</v>
      </c>
      <c r="H19" s="31">
        <f>'Stavební rozpočet'!H19</f>
        <v>0</v>
      </c>
      <c r="I19" s="31">
        <f>ROUND(IR19*G19,2)</f>
        <v>0</v>
      </c>
      <c r="J19" s="31">
        <f>ROUND(IS19*G19,2)</f>
        <v>0</v>
      </c>
      <c r="K19" s="31">
        <f>ROUND(IR19*G19+IS19*G19,2)</f>
        <v>0</v>
      </c>
      <c r="L19" s="31">
        <f>'Stavební rozpočet'!N19</f>
        <v>2.0000000000000001E-4</v>
      </c>
      <c r="M19" s="67">
        <f>L19*G19</f>
        <v>4.8000000000000004E-3</v>
      </c>
      <c r="HV19" s="3" t="s">
        <v>68</v>
      </c>
      <c r="HW19" s="3" t="s">
        <v>192</v>
      </c>
      <c r="IR19" s="68">
        <f>H19*0.621081081</f>
        <v>0</v>
      </c>
      <c r="IS19" s="68">
        <f>H19*(1-0.621081081)</f>
        <v>0</v>
      </c>
    </row>
    <row r="20" spans="1:253" x14ac:dyDescent="0.25">
      <c r="A20" s="66">
        <v>6</v>
      </c>
      <c r="B20" s="3" t="s">
        <v>85</v>
      </c>
      <c r="C20" s="5" t="s">
        <v>86</v>
      </c>
      <c r="D20" s="3" t="s">
        <v>80</v>
      </c>
      <c r="E20" s="32">
        <v>21</v>
      </c>
      <c r="F20" s="3" t="s">
        <v>81</v>
      </c>
      <c r="G20" s="31">
        <f>'Stavební rozpočet'!G20</f>
        <v>5</v>
      </c>
      <c r="H20" s="31">
        <f>'Stavební rozpočet'!H20</f>
        <v>0</v>
      </c>
      <c r="I20" s="31">
        <f>ROUND(IR20*G20,2)</f>
        <v>0</v>
      </c>
      <c r="J20" s="31">
        <f>ROUND(IS20*G20,2)</f>
        <v>0</v>
      </c>
      <c r="K20" s="31">
        <f>ROUND(IR20*G20+IS20*G20,2)</f>
        <v>0</v>
      </c>
      <c r="L20" s="31">
        <f>'Stavební rozpočet'!N20</f>
        <v>0</v>
      </c>
      <c r="M20" s="67">
        <f>L20*G20</f>
        <v>0</v>
      </c>
      <c r="HV20" s="3" t="s">
        <v>68</v>
      </c>
      <c r="HW20" s="3" t="s">
        <v>192</v>
      </c>
      <c r="IR20" s="68">
        <f>H20*0</f>
        <v>0</v>
      </c>
      <c r="IS20" s="68">
        <f>H20*(1-0)</f>
        <v>0</v>
      </c>
    </row>
    <row r="21" spans="1:253" x14ac:dyDescent="0.25">
      <c r="A21" s="66">
        <v>7</v>
      </c>
      <c r="B21" s="3" t="s">
        <v>88</v>
      </c>
      <c r="C21" s="5" t="s">
        <v>89</v>
      </c>
      <c r="D21" s="3" t="s">
        <v>80</v>
      </c>
      <c r="E21" s="32">
        <v>21</v>
      </c>
      <c r="F21" s="3" t="s">
        <v>81</v>
      </c>
      <c r="G21" s="31">
        <f>'Stavební rozpočet'!G21</f>
        <v>5</v>
      </c>
      <c r="H21" s="31">
        <f>'Stavební rozpočet'!H21</f>
        <v>0</v>
      </c>
      <c r="I21" s="31">
        <f>ROUND(IR21*G21,2)</f>
        <v>0</v>
      </c>
      <c r="J21" s="31">
        <f>ROUND(IS21*G21,2)</f>
        <v>0</v>
      </c>
      <c r="K21" s="31">
        <f>ROUND(IR21*G21+IS21*G21,2)</f>
        <v>0</v>
      </c>
      <c r="L21" s="31">
        <f>'Stavební rozpočet'!N21</f>
        <v>4.2000000000000002E-4</v>
      </c>
      <c r="M21" s="67">
        <f>L21*G21</f>
        <v>2.1000000000000003E-3</v>
      </c>
      <c r="HV21" s="3" t="s">
        <v>68</v>
      </c>
      <c r="HW21" s="3" t="s">
        <v>175</v>
      </c>
      <c r="IR21" s="68">
        <f>H21*1</f>
        <v>0</v>
      </c>
      <c r="IS21" s="68">
        <f>H21*(1-1)</f>
        <v>0</v>
      </c>
    </row>
    <row r="22" spans="1:253" ht="13.5" customHeight="1" x14ac:dyDescent="0.25">
      <c r="A22" s="228"/>
      <c r="B22" s="229"/>
      <c r="C22" s="207"/>
      <c r="D22" s="205"/>
      <c r="E22" s="205"/>
      <c r="F22" s="205"/>
      <c r="G22" s="205"/>
      <c r="H22" s="205"/>
      <c r="I22" s="205"/>
      <c r="J22" s="205"/>
      <c r="K22" s="205"/>
      <c r="L22" s="205"/>
      <c r="M22" s="206"/>
    </row>
    <row r="23" spans="1:253" x14ac:dyDescent="0.25">
      <c r="A23" s="66">
        <v>8</v>
      </c>
      <c r="B23" s="3" t="s">
        <v>91</v>
      </c>
      <c r="C23" s="5" t="s">
        <v>92</v>
      </c>
      <c r="D23" s="3" t="s">
        <v>73</v>
      </c>
      <c r="E23" s="32">
        <v>21</v>
      </c>
      <c r="F23" s="3" t="s">
        <v>193</v>
      </c>
      <c r="G23" s="31">
        <f>'Stavební rozpočet'!G23</f>
        <v>25</v>
      </c>
      <c r="H23" s="31">
        <f>'Stavební rozpočet'!H23</f>
        <v>0</v>
      </c>
      <c r="I23" s="31">
        <f>ROUND(IR23*G23,2)</f>
        <v>0</v>
      </c>
      <c r="J23" s="31">
        <f>ROUND(IS23*G23,2)</f>
        <v>0</v>
      </c>
      <c r="K23" s="31">
        <f>ROUND(IR23*G23+IS23*G23,2)</f>
        <v>0</v>
      </c>
      <c r="L23" s="31">
        <f>'Stavební rozpočet'!N23</f>
        <v>5.9459999999999999E-2</v>
      </c>
      <c r="M23" s="67">
        <f>L23*G23</f>
        <v>1.4864999999999999</v>
      </c>
      <c r="HV23" s="3" t="s">
        <v>68</v>
      </c>
      <c r="HW23" s="3" t="s">
        <v>192</v>
      </c>
      <c r="IR23" s="68">
        <f>H23*0.116117033</f>
        <v>0</v>
      </c>
      <c r="IS23" s="68">
        <f>H23*(1-0.116117033)</f>
        <v>0</v>
      </c>
    </row>
    <row r="24" spans="1:253" x14ac:dyDescent="0.25">
      <c r="A24" s="166" t="s">
        <v>54</v>
      </c>
      <c r="B24" s="122"/>
      <c r="C24" s="122"/>
      <c r="D24" s="122"/>
      <c r="E24" s="122"/>
      <c r="F24" s="3" t="s">
        <v>195</v>
      </c>
      <c r="G24" s="31">
        <v>4</v>
      </c>
      <c r="H24" s="31">
        <f>'Stavební rozpočet'!H23</f>
        <v>0</v>
      </c>
      <c r="M24" s="71"/>
      <c r="HV24" s="3" t="s">
        <v>68</v>
      </c>
      <c r="HW24" s="3" t="s">
        <v>192</v>
      </c>
      <c r="IR24" s="68">
        <f>H24*0.116117033</f>
        <v>0</v>
      </c>
      <c r="IS24" s="68">
        <f>H24*(1-0.116117033)</f>
        <v>0</v>
      </c>
    </row>
    <row r="25" spans="1:253" x14ac:dyDescent="0.25">
      <c r="A25" s="69" t="s">
        <v>4</v>
      </c>
      <c r="B25" s="36" t="s">
        <v>93</v>
      </c>
      <c r="C25" s="37" t="s">
        <v>94</v>
      </c>
      <c r="D25" s="36" t="s">
        <v>4</v>
      </c>
      <c r="E25" s="12" t="s">
        <v>4</v>
      </c>
      <c r="F25" s="36" t="s">
        <v>4</v>
      </c>
      <c r="G25" s="12" t="s">
        <v>4</v>
      </c>
      <c r="H25" s="12" t="s">
        <v>4</v>
      </c>
      <c r="I25" s="1">
        <f>SUM(I26:I34)</f>
        <v>0</v>
      </c>
      <c r="J25" s="1">
        <f>SUM(J26:J34)</f>
        <v>0</v>
      </c>
      <c r="K25" s="1">
        <f>SUM(K26:K34)</f>
        <v>0</v>
      </c>
      <c r="L25" s="12" t="s">
        <v>4</v>
      </c>
      <c r="M25" s="70">
        <f>SUM(M26:M34)</f>
        <v>0.66839999999999999</v>
      </c>
    </row>
    <row r="26" spans="1:253" x14ac:dyDescent="0.25">
      <c r="A26" s="66">
        <v>9</v>
      </c>
      <c r="B26" s="3" t="s">
        <v>96</v>
      </c>
      <c r="C26" s="5" t="s">
        <v>97</v>
      </c>
      <c r="D26" s="3" t="s">
        <v>80</v>
      </c>
      <c r="E26" s="32">
        <v>21</v>
      </c>
      <c r="F26" s="3" t="s">
        <v>196</v>
      </c>
      <c r="G26" s="31">
        <f>'Stavební rozpočet'!G25</f>
        <v>20</v>
      </c>
      <c r="H26" s="31">
        <f>'Stavební rozpočet'!H25</f>
        <v>0</v>
      </c>
      <c r="I26" s="31">
        <f>ROUND(IR26*G26,2)</f>
        <v>0</v>
      </c>
      <c r="J26" s="31">
        <f>ROUND(IS26*G26,2)</f>
        <v>0</v>
      </c>
      <c r="K26" s="31">
        <f>ROUND(IR26*G26+IS26*G26,2)</f>
        <v>0</v>
      </c>
      <c r="L26" s="31">
        <f>'Stavební rozpočet'!N25</f>
        <v>3.0000000000000001E-3</v>
      </c>
      <c r="M26" s="67">
        <f>L26*G26</f>
        <v>0.06</v>
      </c>
      <c r="HV26" s="3" t="s">
        <v>93</v>
      </c>
      <c r="HW26" s="3" t="s">
        <v>192</v>
      </c>
      <c r="IR26" s="68">
        <f>H26*0.945870242</f>
        <v>0</v>
      </c>
      <c r="IS26" s="68">
        <f>H26*(1-0.945870242)</f>
        <v>0</v>
      </c>
    </row>
    <row r="27" spans="1:253" x14ac:dyDescent="0.25">
      <c r="A27" s="66">
        <v>10</v>
      </c>
      <c r="B27" s="3" t="s">
        <v>100</v>
      </c>
      <c r="C27" s="5" t="s">
        <v>101</v>
      </c>
      <c r="D27" s="3" t="s">
        <v>73</v>
      </c>
      <c r="E27" s="32">
        <v>21</v>
      </c>
      <c r="F27" s="3" t="s">
        <v>197</v>
      </c>
      <c r="G27" s="31">
        <f>'Stavební rozpočet'!G26</f>
        <v>60</v>
      </c>
      <c r="H27" s="31">
        <f>'Stavební rozpočet'!H26</f>
        <v>0</v>
      </c>
      <c r="I27" s="31">
        <f>ROUND(IR27*G27,2)</f>
        <v>0</v>
      </c>
      <c r="J27" s="31">
        <f>ROUND(IS27*G27,2)</f>
        <v>0</v>
      </c>
      <c r="K27" s="31">
        <f>ROUND(IR27*G27+IS27*G27,2)</f>
        <v>0</v>
      </c>
      <c r="L27" s="31">
        <f>'Stavební rozpočet'!N26</f>
        <v>2.7899999999999999E-3</v>
      </c>
      <c r="M27" s="67">
        <f>L27*G27</f>
        <v>0.16739999999999999</v>
      </c>
      <c r="HV27" s="3" t="s">
        <v>93</v>
      </c>
      <c r="HW27" s="3" t="s">
        <v>192</v>
      </c>
      <c r="IR27" s="68">
        <f>H27*0.148487805</f>
        <v>0</v>
      </c>
      <c r="IS27" s="68">
        <f>H27*(1-0.148487805)</f>
        <v>0</v>
      </c>
    </row>
    <row r="28" spans="1:253" x14ac:dyDescent="0.25">
      <c r="A28" s="166" t="s">
        <v>54</v>
      </c>
      <c r="B28" s="122"/>
      <c r="C28" s="122"/>
      <c r="D28" s="122"/>
      <c r="E28" s="122"/>
      <c r="F28" s="3" t="s">
        <v>194</v>
      </c>
      <c r="G28" s="31">
        <v>4</v>
      </c>
      <c r="H28" s="31">
        <f>'Stavební rozpočet'!H26</f>
        <v>0</v>
      </c>
      <c r="M28" s="71"/>
      <c r="HV28" s="3" t="s">
        <v>93</v>
      </c>
      <c r="HW28" s="3" t="s">
        <v>192</v>
      </c>
      <c r="IR28" s="68">
        <f>H28*0.148487805</f>
        <v>0</v>
      </c>
      <c r="IS28" s="68">
        <f>H28*(1-0.148487805)</f>
        <v>0</v>
      </c>
    </row>
    <row r="29" spans="1:253" ht="13.5" customHeight="1" x14ac:dyDescent="0.25">
      <c r="A29" s="228"/>
      <c r="B29" s="229"/>
      <c r="C29" s="207"/>
      <c r="D29" s="205"/>
      <c r="E29" s="205"/>
      <c r="F29" s="205"/>
      <c r="G29" s="205"/>
      <c r="H29" s="205"/>
      <c r="I29" s="205"/>
      <c r="J29" s="205"/>
      <c r="K29" s="205"/>
      <c r="L29" s="205"/>
      <c r="M29" s="206"/>
    </row>
    <row r="30" spans="1:253" x14ac:dyDescent="0.25">
      <c r="A30" s="66">
        <v>11</v>
      </c>
      <c r="B30" s="3" t="s">
        <v>103</v>
      </c>
      <c r="C30" s="5" t="s">
        <v>104</v>
      </c>
      <c r="D30" s="3" t="s">
        <v>73</v>
      </c>
      <c r="E30" s="32">
        <v>21</v>
      </c>
      <c r="F30" s="3" t="s">
        <v>197</v>
      </c>
      <c r="G30" s="31">
        <f>'Stavební rozpočet'!G28</f>
        <v>60</v>
      </c>
      <c r="H30" s="31">
        <f>'Stavební rozpočet'!H28</f>
        <v>0</v>
      </c>
      <c r="I30" s="31">
        <f>ROUND(IR30*G30,2)</f>
        <v>0</v>
      </c>
      <c r="J30" s="31">
        <f>ROUND(IS30*G30,2)</f>
        <v>0</v>
      </c>
      <c r="K30" s="31">
        <f>ROUND(IR30*G30+IS30*G30,2)</f>
        <v>0</v>
      </c>
      <c r="L30" s="31">
        <f>'Stavební rozpočet'!N28</f>
        <v>0</v>
      </c>
      <c r="M30" s="67">
        <f>L30*G30</f>
        <v>0</v>
      </c>
      <c r="HV30" s="3" t="s">
        <v>93</v>
      </c>
      <c r="HW30" s="3" t="s">
        <v>192</v>
      </c>
      <c r="IR30" s="68">
        <f>H30*0.352318306</f>
        <v>0</v>
      </c>
      <c r="IS30" s="68">
        <f>H30*(1-0.352318306)</f>
        <v>0</v>
      </c>
    </row>
    <row r="31" spans="1:253" x14ac:dyDescent="0.25">
      <c r="A31" s="166" t="s">
        <v>54</v>
      </c>
      <c r="B31" s="122"/>
      <c r="C31" s="122"/>
      <c r="D31" s="122"/>
      <c r="E31" s="122"/>
      <c r="F31" s="3" t="s">
        <v>194</v>
      </c>
      <c r="G31" s="31">
        <v>4</v>
      </c>
      <c r="H31" s="31">
        <f>'Stavební rozpočet'!H28</f>
        <v>0</v>
      </c>
      <c r="M31" s="71"/>
      <c r="HV31" s="3" t="s">
        <v>93</v>
      </c>
      <c r="HW31" s="3" t="s">
        <v>192</v>
      </c>
      <c r="IR31" s="68">
        <f>H31*0.352318306</f>
        <v>0</v>
      </c>
      <c r="IS31" s="68">
        <f>H31*(1-0.352318306)</f>
        <v>0</v>
      </c>
    </row>
    <row r="32" spans="1:253" x14ac:dyDescent="0.25">
      <c r="A32" s="66">
        <v>12</v>
      </c>
      <c r="B32" s="3" t="s">
        <v>106</v>
      </c>
      <c r="C32" s="5" t="s">
        <v>107</v>
      </c>
      <c r="D32" s="3" t="s">
        <v>73</v>
      </c>
      <c r="E32" s="32">
        <v>21</v>
      </c>
      <c r="F32" s="3" t="s">
        <v>198</v>
      </c>
      <c r="G32" s="31">
        <f>'Stavební rozpočet'!G29</f>
        <v>60</v>
      </c>
      <c r="H32" s="31">
        <f>'Stavební rozpočet'!H29</f>
        <v>0</v>
      </c>
      <c r="I32" s="31">
        <f>ROUND(IR32*G32,2)</f>
        <v>0</v>
      </c>
      <c r="J32" s="31">
        <f>ROUND(IS32*G32,2)</f>
        <v>0</v>
      </c>
      <c r="K32" s="31">
        <f>ROUND(IR32*G32+IS32*G32,2)</f>
        <v>0</v>
      </c>
      <c r="L32" s="31">
        <f>'Stavební rozpočet'!N29</f>
        <v>0</v>
      </c>
      <c r="M32" s="67">
        <f>L32*G32</f>
        <v>0</v>
      </c>
      <c r="HV32" s="3" t="s">
        <v>93</v>
      </c>
      <c r="HW32" s="3" t="s">
        <v>192</v>
      </c>
      <c r="IR32" s="68">
        <f>H32*0</f>
        <v>0</v>
      </c>
      <c r="IS32" s="68">
        <f>H32*(1-0)</f>
        <v>0</v>
      </c>
    </row>
    <row r="33" spans="1:253" x14ac:dyDescent="0.25">
      <c r="A33" s="166" t="s">
        <v>54</v>
      </c>
      <c r="B33" s="122"/>
      <c r="C33" s="122"/>
      <c r="D33" s="122"/>
      <c r="E33" s="122"/>
      <c r="F33" s="3" t="s">
        <v>77</v>
      </c>
      <c r="G33" s="31">
        <v>4</v>
      </c>
      <c r="H33" s="31">
        <f>'Stavební rozpočet'!H29</f>
        <v>0</v>
      </c>
      <c r="M33" s="71"/>
      <c r="HV33" s="3" t="s">
        <v>93</v>
      </c>
      <c r="HW33" s="3" t="s">
        <v>192</v>
      </c>
      <c r="IR33" s="68">
        <f>H33*0</f>
        <v>0</v>
      </c>
      <c r="IS33" s="68">
        <f>H33*(1-0)</f>
        <v>0</v>
      </c>
    </row>
    <row r="34" spans="1:253" x14ac:dyDescent="0.25">
      <c r="A34" s="66">
        <v>13</v>
      </c>
      <c r="B34" s="3" t="s">
        <v>108</v>
      </c>
      <c r="C34" s="5" t="s">
        <v>109</v>
      </c>
      <c r="D34" s="3" t="s">
        <v>73</v>
      </c>
      <c r="E34" s="32">
        <v>21</v>
      </c>
      <c r="F34" s="3" t="s">
        <v>199</v>
      </c>
      <c r="G34" s="31">
        <f>'Stavební rozpočet'!G30</f>
        <v>35</v>
      </c>
      <c r="H34" s="31">
        <f>'Stavební rozpočet'!H30</f>
        <v>0</v>
      </c>
      <c r="I34" s="31">
        <f>ROUND(IR34*G34,2)</f>
        <v>0</v>
      </c>
      <c r="J34" s="31">
        <f>ROUND(IS34*G34,2)</f>
        <v>0</v>
      </c>
      <c r="K34" s="31">
        <f>ROUND(IR34*G34+IS34*G34,2)</f>
        <v>0</v>
      </c>
      <c r="L34" s="31">
        <f>'Stavební rozpočet'!N30</f>
        <v>1.26E-2</v>
      </c>
      <c r="M34" s="67">
        <f>L34*G34</f>
        <v>0.441</v>
      </c>
      <c r="HV34" s="3" t="s">
        <v>93</v>
      </c>
      <c r="HW34" s="3" t="s">
        <v>192</v>
      </c>
      <c r="IR34" s="68">
        <f>H34*0</f>
        <v>0</v>
      </c>
      <c r="IS34" s="68">
        <f>H34*(1-0)</f>
        <v>0</v>
      </c>
    </row>
    <row r="35" spans="1:253" ht="13.5" customHeight="1" x14ac:dyDescent="0.25">
      <c r="A35" s="228"/>
      <c r="B35" s="229"/>
      <c r="C35" s="207"/>
      <c r="D35" s="205"/>
      <c r="E35" s="205"/>
      <c r="F35" s="205"/>
      <c r="G35" s="205"/>
      <c r="H35" s="205"/>
      <c r="I35" s="205"/>
      <c r="J35" s="205"/>
      <c r="K35" s="205"/>
      <c r="L35" s="205"/>
      <c r="M35" s="206"/>
    </row>
    <row r="36" spans="1:253" x14ac:dyDescent="0.25">
      <c r="A36" s="69" t="s">
        <v>4</v>
      </c>
      <c r="B36" s="36" t="s">
        <v>110</v>
      </c>
      <c r="C36" s="37" t="s">
        <v>111</v>
      </c>
      <c r="D36" s="36" t="s">
        <v>4</v>
      </c>
      <c r="E36" s="12" t="s">
        <v>4</v>
      </c>
      <c r="F36" s="36" t="s">
        <v>4</v>
      </c>
      <c r="G36" s="12" t="s">
        <v>4</v>
      </c>
      <c r="H36" s="12" t="s">
        <v>4</v>
      </c>
      <c r="I36" s="1">
        <f>SUM(I37:I46)</f>
        <v>0</v>
      </c>
      <c r="J36" s="1">
        <f>SUM(J37:J46)</f>
        <v>0</v>
      </c>
      <c r="K36" s="1">
        <f>SUM(K37:K46)</f>
        <v>0</v>
      </c>
      <c r="L36" s="12" t="s">
        <v>4</v>
      </c>
      <c r="M36" s="70">
        <f>SUM(M37:M46)</f>
        <v>0.29314999999999997</v>
      </c>
    </row>
    <row r="37" spans="1:253" x14ac:dyDescent="0.25">
      <c r="A37" s="66">
        <v>14</v>
      </c>
      <c r="B37" s="3" t="s">
        <v>113</v>
      </c>
      <c r="C37" s="5" t="s">
        <v>114</v>
      </c>
      <c r="D37" s="3" t="s">
        <v>73</v>
      </c>
      <c r="E37" s="32">
        <v>21</v>
      </c>
      <c r="F37" s="3" t="s">
        <v>199</v>
      </c>
      <c r="G37" s="31">
        <f>'Stavební rozpočet'!G33</f>
        <v>35</v>
      </c>
      <c r="H37" s="31">
        <f>'Stavební rozpočet'!H33</f>
        <v>0</v>
      </c>
      <c r="I37" s="31">
        <f>ROUND(IR37*G37,2)</f>
        <v>0</v>
      </c>
      <c r="J37" s="31">
        <f>ROUND(IS37*G37,2)</f>
        <v>0</v>
      </c>
      <c r="K37" s="31">
        <f>ROUND(IR37*G37+IS37*G37,2)</f>
        <v>0</v>
      </c>
      <c r="L37" s="31">
        <f>'Stavební rozpočet'!N33</f>
        <v>7.2000000000000005E-4</v>
      </c>
      <c r="M37" s="67">
        <f>L37*G37</f>
        <v>2.52E-2</v>
      </c>
      <c r="HV37" s="3" t="s">
        <v>110</v>
      </c>
      <c r="HW37" s="3" t="s">
        <v>192</v>
      </c>
      <c r="IR37" s="68">
        <f>H37*0.815054545</f>
        <v>0</v>
      </c>
      <c r="IS37" s="68">
        <f>H37*(1-0.815054545)</f>
        <v>0</v>
      </c>
    </row>
    <row r="38" spans="1:253" ht="25.5" x14ac:dyDescent="0.25">
      <c r="A38" s="66">
        <v>15</v>
      </c>
      <c r="B38" s="3" t="s">
        <v>118</v>
      </c>
      <c r="C38" s="5" t="s">
        <v>119</v>
      </c>
      <c r="D38" s="3" t="s">
        <v>120</v>
      </c>
      <c r="E38" s="32">
        <v>21</v>
      </c>
      <c r="F38" s="3" t="s">
        <v>200</v>
      </c>
      <c r="G38" s="31">
        <f>'Stavební rozpočet'!G34</f>
        <v>60</v>
      </c>
      <c r="H38" s="31">
        <f>'Stavební rozpočet'!H34</f>
        <v>0</v>
      </c>
      <c r="I38" s="31">
        <f>ROUND(IR38*G38,2)</f>
        <v>0</v>
      </c>
      <c r="J38" s="31">
        <f>ROUND(IS38*G38,2)</f>
        <v>0</v>
      </c>
      <c r="K38" s="31">
        <f>ROUND(IR38*G38+IS38*G38,2)</f>
        <v>0</v>
      </c>
      <c r="L38" s="31">
        <f>'Stavební rozpočet'!N34</f>
        <v>1E-3</v>
      </c>
      <c r="M38" s="67">
        <f>L38*G38</f>
        <v>0.06</v>
      </c>
      <c r="HV38" s="3" t="s">
        <v>110</v>
      </c>
      <c r="HW38" s="3" t="s">
        <v>175</v>
      </c>
      <c r="IR38" s="68">
        <f>H38*1</f>
        <v>0</v>
      </c>
      <c r="IS38" s="68">
        <f>H38*(1-1)</f>
        <v>0</v>
      </c>
    </row>
    <row r="39" spans="1:253" ht="13.5" customHeight="1" x14ac:dyDescent="0.25">
      <c r="A39" s="228" t="s">
        <v>76</v>
      </c>
      <c r="B39" s="229"/>
      <c r="C39" s="207" t="s">
        <v>122</v>
      </c>
      <c r="D39" s="205"/>
      <c r="E39" s="205"/>
      <c r="F39" s="205"/>
      <c r="G39" s="205"/>
      <c r="H39" s="205"/>
      <c r="I39" s="205"/>
      <c r="J39" s="205"/>
      <c r="K39" s="205"/>
      <c r="L39" s="205"/>
      <c r="M39" s="206"/>
    </row>
    <row r="40" spans="1:253" x14ac:dyDescent="0.25">
      <c r="A40" s="66">
        <v>16</v>
      </c>
      <c r="B40" s="3" t="s">
        <v>124</v>
      </c>
      <c r="C40" s="5" t="s">
        <v>125</v>
      </c>
      <c r="D40" s="3" t="s">
        <v>73</v>
      </c>
      <c r="E40" s="32">
        <v>21</v>
      </c>
      <c r="F40" s="3" t="s">
        <v>201</v>
      </c>
      <c r="G40" s="31">
        <f>'Stavební rozpočet'!G36</f>
        <v>35</v>
      </c>
      <c r="H40" s="31">
        <f>'Stavební rozpočet'!H36</f>
        <v>0</v>
      </c>
      <c r="I40" s="31">
        <f>ROUND(IR40*G40,2)</f>
        <v>0</v>
      </c>
      <c r="J40" s="31">
        <f>ROUND(IS40*G40,2)</f>
        <v>0</v>
      </c>
      <c r="K40" s="31">
        <f>ROUND(IR40*G40+IS40*G40,2)</f>
        <v>0</v>
      </c>
      <c r="L40" s="31">
        <f>'Stavební rozpočet'!N36</f>
        <v>1.3500000000000001E-3</v>
      </c>
      <c r="M40" s="67">
        <f>L40*G40</f>
        <v>4.725E-2</v>
      </c>
      <c r="HV40" s="3" t="s">
        <v>110</v>
      </c>
      <c r="HW40" s="3" t="s">
        <v>192</v>
      </c>
      <c r="IR40" s="68">
        <f>H40*0.36718254</f>
        <v>0</v>
      </c>
      <c r="IS40" s="68">
        <f>H40*(1-0.36718254)</f>
        <v>0</v>
      </c>
    </row>
    <row r="41" spans="1:253" ht="13.5" customHeight="1" x14ac:dyDescent="0.25">
      <c r="A41" s="228"/>
      <c r="B41" s="229"/>
      <c r="C41" s="207"/>
      <c r="D41" s="205"/>
      <c r="E41" s="205"/>
      <c r="F41" s="205"/>
      <c r="G41" s="205"/>
      <c r="H41" s="205"/>
      <c r="I41" s="205"/>
      <c r="J41" s="205"/>
      <c r="K41" s="205"/>
      <c r="L41" s="205"/>
      <c r="M41" s="206"/>
    </row>
    <row r="42" spans="1:253" ht="25.5" x14ac:dyDescent="0.25">
      <c r="A42" s="66">
        <v>17</v>
      </c>
      <c r="B42" s="3" t="s">
        <v>118</v>
      </c>
      <c r="C42" s="5" t="s">
        <v>127</v>
      </c>
      <c r="D42" s="3" t="s">
        <v>120</v>
      </c>
      <c r="E42" s="32">
        <v>21</v>
      </c>
      <c r="F42" s="3" t="s">
        <v>202</v>
      </c>
      <c r="G42" s="31">
        <f>'Stavební rozpočet'!G38</f>
        <v>120</v>
      </c>
      <c r="H42" s="31">
        <f>'Stavební rozpočet'!H38</f>
        <v>0</v>
      </c>
      <c r="I42" s="31">
        <f>ROUND(IR42*G42,2)</f>
        <v>0</v>
      </c>
      <c r="J42" s="31">
        <f>ROUND(IS42*G42,2)</f>
        <v>0</v>
      </c>
      <c r="K42" s="31">
        <f>ROUND(IR42*G42+IS42*G42,2)</f>
        <v>0</v>
      </c>
      <c r="L42" s="31">
        <f>'Stavební rozpočet'!N38</f>
        <v>1E-3</v>
      </c>
      <c r="M42" s="67">
        <f>L42*G42</f>
        <v>0.12</v>
      </c>
      <c r="HV42" s="3" t="s">
        <v>110</v>
      </c>
      <c r="HW42" s="3" t="s">
        <v>175</v>
      </c>
      <c r="IR42" s="68">
        <f>H42*1</f>
        <v>0</v>
      </c>
      <c r="IS42" s="68">
        <f>H42*(1-1)</f>
        <v>0</v>
      </c>
    </row>
    <row r="43" spans="1:253" ht="13.5" customHeight="1" x14ac:dyDescent="0.25">
      <c r="A43" s="228" t="s">
        <v>76</v>
      </c>
      <c r="B43" s="229"/>
      <c r="C43" s="207" t="s">
        <v>128</v>
      </c>
      <c r="D43" s="205"/>
      <c r="E43" s="205"/>
      <c r="F43" s="205"/>
      <c r="G43" s="205"/>
      <c r="H43" s="205"/>
      <c r="I43" s="205"/>
      <c r="J43" s="205"/>
      <c r="K43" s="205"/>
      <c r="L43" s="205"/>
      <c r="M43" s="206"/>
    </row>
    <row r="44" spans="1:253" x14ac:dyDescent="0.25">
      <c r="A44" s="66">
        <v>18</v>
      </c>
      <c r="B44" s="3" t="s">
        <v>130</v>
      </c>
      <c r="C44" s="5" t="s">
        <v>131</v>
      </c>
      <c r="D44" s="3" t="s">
        <v>73</v>
      </c>
      <c r="E44" s="32">
        <v>21</v>
      </c>
      <c r="F44" s="3" t="s">
        <v>199</v>
      </c>
      <c r="G44" s="31">
        <f>'Stavební rozpočet'!G40</f>
        <v>35</v>
      </c>
      <c r="H44" s="31">
        <f>'Stavební rozpočet'!H40</f>
        <v>0</v>
      </c>
      <c r="I44" s="31">
        <f>ROUND(IR44*G44,2)</f>
        <v>0</v>
      </c>
      <c r="J44" s="31">
        <f>ROUND(IS44*G44,2)</f>
        <v>0</v>
      </c>
      <c r="K44" s="31">
        <f>ROUND(IR44*G44+IS44*G44,2)</f>
        <v>0</v>
      </c>
      <c r="L44" s="31">
        <f>'Stavební rozpočet'!N40</f>
        <v>2.0000000000000002E-5</v>
      </c>
      <c r="M44" s="67">
        <f>L44*G44</f>
        <v>7.000000000000001E-4</v>
      </c>
      <c r="HV44" s="3" t="s">
        <v>110</v>
      </c>
      <c r="HW44" s="3" t="s">
        <v>192</v>
      </c>
      <c r="IR44" s="68">
        <f>H44*0.016682927</f>
        <v>0</v>
      </c>
      <c r="IS44" s="68">
        <f>H44*(1-0.016682927)</f>
        <v>0</v>
      </c>
    </row>
    <row r="45" spans="1:253" ht="13.5" customHeight="1" x14ac:dyDescent="0.25">
      <c r="A45" s="228"/>
      <c r="B45" s="229"/>
      <c r="C45" s="207"/>
      <c r="D45" s="205"/>
      <c r="E45" s="205"/>
      <c r="F45" s="205"/>
      <c r="G45" s="205"/>
      <c r="H45" s="205"/>
      <c r="I45" s="205"/>
      <c r="J45" s="205"/>
      <c r="K45" s="205"/>
      <c r="L45" s="205"/>
      <c r="M45" s="206"/>
    </row>
    <row r="46" spans="1:253" x14ac:dyDescent="0.25">
      <c r="A46" s="66">
        <v>19</v>
      </c>
      <c r="B46" s="3" t="s">
        <v>133</v>
      </c>
      <c r="C46" s="5" t="s">
        <v>134</v>
      </c>
      <c r="D46" s="3" t="s">
        <v>120</v>
      </c>
      <c r="E46" s="32">
        <v>21</v>
      </c>
      <c r="F46" s="3" t="s">
        <v>203</v>
      </c>
      <c r="G46" s="31">
        <f>'Stavební rozpočet'!G42</f>
        <v>40</v>
      </c>
      <c r="H46" s="31">
        <f>'Stavební rozpočet'!H42</f>
        <v>0</v>
      </c>
      <c r="I46" s="31">
        <f>ROUND(IR46*G46,2)</f>
        <v>0</v>
      </c>
      <c r="J46" s="31">
        <f>ROUND(IS46*G46,2)</f>
        <v>0</v>
      </c>
      <c r="K46" s="31">
        <f>ROUND(IR46*G46+IS46*G46,2)</f>
        <v>0</v>
      </c>
      <c r="L46" s="31">
        <f>'Stavební rozpočet'!N42</f>
        <v>1E-3</v>
      </c>
      <c r="M46" s="67">
        <f>L46*G46</f>
        <v>0.04</v>
      </c>
      <c r="HV46" s="3" t="s">
        <v>110</v>
      </c>
      <c r="HW46" s="3" t="s">
        <v>175</v>
      </c>
      <c r="IR46" s="68">
        <f>H46*1</f>
        <v>0</v>
      </c>
      <c r="IS46" s="68">
        <f>H46*(1-1)</f>
        <v>0</v>
      </c>
    </row>
    <row r="47" spans="1:253" ht="27" customHeight="1" x14ac:dyDescent="0.25">
      <c r="A47" s="228" t="s">
        <v>76</v>
      </c>
      <c r="B47" s="229"/>
      <c r="C47" s="207" t="s">
        <v>135</v>
      </c>
      <c r="D47" s="205"/>
      <c r="E47" s="205"/>
      <c r="F47" s="205"/>
      <c r="G47" s="205"/>
      <c r="H47" s="205"/>
      <c r="I47" s="205"/>
      <c r="J47" s="205"/>
      <c r="K47" s="205"/>
      <c r="L47" s="205"/>
      <c r="M47" s="206"/>
    </row>
    <row r="48" spans="1:253" x14ac:dyDescent="0.25">
      <c r="A48" s="69" t="s">
        <v>4</v>
      </c>
      <c r="B48" s="36" t="s">
        <v>136</v>
      </c>
      <c r="C48" s="37" t="s">
        <v>137</v>
      </c>
      <c r="D48" s="36" t="s">
        <v>4</v>
      </c>
      <c r="E48" s="12" t="s">
        <v>4</v>
      </c>
      <c r="F48" s="36" t="s">
        <v>4</v>
      </c>
      <c r="G48" s="12" t="s">
        <v>4</v>
      </c>
      <c r="H48" s="12" t="s">
        <v>4</v>
      </c>
      <c r="I48" s="1">
        <f>SUM(I49:I55)</f>
        <v>0</v>
      </c>
      <c r="J48" s="1">
        <f>SUM(J49:J55)</f>
        <v>0</v>
      </c>
      <c r="K48" s="1">
        <f>SUM(K49:K55)</f>
        <v>0</v>
      </c>
      <c r="L48" s="12" t="s">
        <v>4</v>
      </c>
      <c r="M48" s="70">
        <f>SUM(M49:M55)</f>
        <v>1.72E-2</v>
      </c>
    </row>
    <row r="49" spans="1:253" x14ac:dyDescent="0.25">
      <c r="A49" s="66">
        <v>20</v>
      </c>
      <c r="B49" s="3" t="s">
        <v>139</v>
      </c>
      <c r="C49" s="5" t="s">
        <v>140</v>
      </c>
      <c r="D49" s="3" t="s">
        <v>73</v>
      </c>
      <c r="E49" s="32">
        <v>21</v>
      </c>
      <c r="F49" s="3" t="s">
        <v>204</v>
      </c>
      <c r="G49" s="31">
        <f>'Stavební rozpočet'!G45</f>
        <v>20</v>
      </c>
      <c r="H49" s="31">
        <f>'Stavební rozpočet'!H45</f>
        <v>0</v>
      </c>
      <c r="I49" s="31">
        <f>ROUND(IR49*G49,2)</f>
        <v>0</v>
      </c>
      <c r="J49" s="31">
        <f>ROUND(IS49*G49,2)</f>
        <v>0</v>
      </c>
      <c r="K49" s="31">
        <f>ROUND(IR49*G49+IS49*G49,2)</f>
        <v>0</v>
      </c>
      <c r="L49" s="31">
        <f>'Stavební rozpočet'!N45</f>
        <v>1.0000000000000001E-5</v>
      </c>
      <c r="M49" s="67">
        <f>L49*G49</f>
        <v>2.0000000000000001E-4</v>
      </c>
      <c r="HV49" s="3" t="s">
        <v>136</v>
      </c>
      <c r="HW49" s="3" t="s">
        <v>192</v>
      </c>
      <c r="IR49" s="68">
        <f>H49*0.054726368</f>
        <v>0</v>
      </c>
      <c r="IS49" s="68">
        <f>H49*(1-0.054726368)</f>
        <v>0</v>
      </c>
    </row>
    <row r="50" spans="1:253" x14ac:dyDescent="0.25">
      <c r="A50" s="66">
        <v>21</v>
      </c>
      <c r="B50" s="3" t="s">
        <v>144</v>
      </c>
      <c r="C50" s="5" t="s">
        <v>145</v>
      </c>
      <c r="D50" s="3" t="s">
        <v>73</v>
      </c>
      <c r="E50" s="32">
        <v>21</v>
      </c>
      <c r="F50" s="3" t="s">
        <v>138</v>
      </c>
      <c r="G50" s="31">
        <f>'Stavební rozpočet'!G46</f>
        <v>20</v>
      </c>
      <c r="H50" s="31">
        <f>'Stavební rozpočet'!H46</f>
        <v>0</v>
      </c>
      <c r="I50" s="31">
        <f>ROUND(IR50*G50,2)</f>
        <v>0</v>
      </c>
      <c r="J50" s="31">
        <f>ROUND(IS50*G50,2)</f>
        <v>0</v>
      </c>
      <c r="K50" s="31">
        <f>ROUND(IR50*G50+IS50*G50,2)</f>
        <v>0</v>
      </c>
      <c r="L50" s="31">
        <f>'Stavební rozpočet'!N46</f>
        <v>1.0000000000000001E-5</v>
      </c>
      <c r="M50" s="67">
        <f>L50*G50</f>
        <v>2.0000000000000001E-4</v>
      </c>
      <c r="HV50" s="3" t="s">
        <v>136</v>
      </c>
      <c r="HW50" s="3" t="s">
        <v>192</v>
      </c>
      <c r="IR50" s="68">
        <f>H50*0.067355372</f>
        <v>0</v>
      </c>
      <c r="IS50" s="68">
        <f>H50*(1-0.067355372)</f>
        <v>0</v>
      </c>
    </row>
    <row r="51" spans="1:253" x14ac:dyDescent="0.25">
      <c r="A51" s="66">
        <v>22</v>
      </c>
      <c r="B51" s="3" t="s">
        <v>147</v>
      </c>
      <c r="C51" s="5" t="s">
        <v>148</v>
      </c>
      <c r="D51" s="3" t="s">
        <v>73</v>
      </c>
      <c r="E51" s="32">
        <v>21</v>
      </c>
      <c r="F51" s="3" t="s">
        <v>138</v>
      </c>
      <c r="G51" s="31">
        <f>'Stavební rozpočet'!G47</f>
        <v>20</v>
      </c>
      <c r="H51" s="31">
        <f>'Stavební rozpočet'!H47</f>
        <v>0</v>
      </c>
      <c r="I51" s="31">
        <f>ROUND(IR51*G51,2)</f>
        <v>0</v>
      </c>
      <c r="J51" s="31">
        <f>ROUND(IS51*G51,2)</f>
        <v>0</v>
      </c>
      <c r="K51" s="31">
        <f>ROUND(IR51*G51+IS51*G51,2)</f>
        <v>0</v>
      </c>
      <c r="L51" s="31">
        <f>'Stavební rozpočet'!N47</f>
        <v>6.9999999999999994E-5</v>
      </c>
      <c r="M51" s="67">
        <f>L51*G51</f>
        <v>1.3999999999999998E-3</v>
      </c>
      <c r="HV51" s="3" t="s">
        <v>136</v>
      </c>
      <c r="HW51" s="3" t="s">
        <v>192</v>
      </c>
      <c r="IR51" s="68">
        <f>H51*0.100498132</f>
        <v>0</v>
      </c>
      <c r="IS51" s="68">
        <f>H51*(1-0.100498132)</f>
        <v>0</v>
      </c>
    </row>
    <row r="52" spans="1:253" x14ac:dyDescent="0.25">
      <c r="A52" s="66">
        <v>23</v>
      </c>
      <c r="B52" s="3" t="s">
        <v>150</v>
      </c>
      <c r="C52" s="5" t="s">
        <v>151</v>
      </c>
      <c r="D52" s="3" t="s">
        <v>73</v>
      </c>
      <c r="E52" s="32">
        <v>21</v>
      </c>
      <c r="F52" s="3" t="s">
        <v>205</v>
      </c>
      <c r="G52" s="31">
        <f>'Stavební rozpočet'!G48</f>
        <v>20</v>
      </c>
      <c r="H52" s="31">
        <f>'Stavební rozpočet'!H48</f>
        <v>0</v>
      </c>
      <c r="I52" s="31">
        <f>ROUND(IR52*G52,2)</f>
        <v>0</v>
      </c>
      <c r="J52" s="31">
        <f>ROUND(IS52*G52,2)</f>
        <v>0</v>
      </c>
      <c r="K52" s="31">
        <f>ROUND(IR52*G52+IS52*G52,2)</f>
        <v>0</v>
      </c>
      <c r="L52" s="31">
        <f>'Stavební rozpočet'!N48</f>
        <v>0</v>
      </c>
      <c r="M52" s="67">
        <f>L52*G52</f>
        <v>0</v>
      </c>
      <c r="HV52" s="3" t="s">
        <v>136</v>
      </c>
      <c r="HW52" s="3" t="s">
        <v>192</v>
      </c>
      <c r="IR52" s="68">
        <f>H52*0</f>
        <v>0</v>
      </c>
      <c r="IS52" s="68">
        <f>H52*(1-0)</f>
        <v>0</v>
      </c>
    </row>
    <row r="53" spans="1:253" ht="13.5" customHeight="1" x14ac:dyDescent="0.25">
      <c r="A53" s="228" t="s">
        <v>76</v>
      </c>
      <c r="B53" s="229"/>
      <c r="C53" s="207" t="s">
        <v>152</v>
      </c>
      <c r="D53" s="205"/>
      <c r="E53" s="205"/>
      <c r="F53" s="205"/>
      <c r="G53" s="205"/>
      <c r="H53" s="205"/>
      <c r="I53" s="205"/>
      <c r="J53" s="205"/>
      <c r="K53" s="205"/>
      <c r="L53" s="205"/>
      <c r="M53" s="206"/>
    </row>
    <row r="54" spans="1:253" x14ac:dyDescent="0.25">
      <c r="A54" s="66">
        <v>24</v>
      </c>
      <c r="B54" s="3" t="s">
        <v>154</v>
      </c>
      <c r="C54" s="5" t="s">
        <v>155</v>
      </c>
      <c r="D54" s="3" t="s">
        <v>73</v>
      </c>
      <c r="E54" s="32">
        <v>21</v>
      </c>
      <c r="F54" s="3" t="s">
        <v>204</v>
      </c>
      <c r="G54" s="31">
        <f>'Stavební rozpočet'!G50</f>
        <v>20</v>
      </c>
      <c r="H54" s="31">
        <f>'Stavební rozpočet'!H50</f>
        <v>0</v>
      </c>
      <c r="I54" s="31">
        <f>ROUND(IR54*G54,2)</f>
        <v>0</v>
      </c>
      <c r="J54" s="31">
        <f>ROUND(IS54*G54,2)</f>
        <v>0</v>
      </c>
      <c r="K54" s="31">
        <f>ROUND(IR54*G54+IS54*G54,2)</f>
        <v>0</v>
      </c>
      <c r="L54" s="31">
        <f>'Stavební rozpočet'!N50</f>
        <v>2.9E-4</v>
      </c>
      <c r="M54" s="67">
        <f>L54*G54</f>
        <v>5.7999999999999996E-3</v>
      </c>
      <c r="HV54" s="3" t="s">
        <v>136</v>
      </c>
      <c r="HW54" s="3" t="s">
        <v>192</v>
      </c>
      <c r="IR54" s="68">
        <f>H54*0.273816254</f>
        <v>0</v>
      </c>
      <c r="IS54" s="68">
        <f>H54*(1-0.273816254)</f>
        <v>0</v>
      </c>
    </row>
    <row r="55" spans="1:253" x14ac:dyDescent="0.25">
      <c r="A55" s="66">
        <v>25</v>
      </c>
      <c r="B55" s="3" t="s">
        <v>157</v>
      </c>
      <c r="C55" s="5" t="s">
        <v>158</v>
      </c>
      <c r="D55" s="3" t="s">
        <v>73</v>
      </c>
      <c r="E55" s="32">
        <v>21</v>
      </c>
      <c r="F55" s="3" t="s">
        <v>138</v>
      </c>
      <c r="G55" s="31">
        <f>'Stavební rozpočet'!G51</f>
        <v>20</v>
      </c>
      <c r="H55" s="31">
        <f>'Stavební rozpočet'!H51</f>
        <v>0</v>
      </c>
      <c r="I55" s="31">
        <f>ROUND(IR55*G55,2)</f>
        <v>0</v>
      </c>
      <c r="J55" s="31">
        <f>ROUND(IS55*G55,2)</f>
        <v>0</v>
      </c>
      <c r="K55" s="31">
        <f>ROUND(IR55*G55+IS55*G55,2)</f>
        <v>0</v>
      </c>
      <c r="L55" s="31">
        <f>'Stavební rozpočet'!N51</f>
        <v>4.8000000000000001E-4</v>
      </c>
      <c r="M55" s="67">
        <f>L55*G55</f>
        <v>9.6000000000000009E-3</v>
      </c>
      <c r="HV55" s="3" t="s">
        <v>136</v>
      </c>
      <c r="HW55" s="3" t="s">
        <v>192</v>
      </c>
      <c r="IR55" s="68">
        <f>H55*0.387549947</f>
        <v>0</v>
      </c>
      <c r="IS55" s="68">
        <f>H55*(1-0.387549947)</f>
        <v>0</v>
      </c>
    </row>
    <row r="56" spans="1:253" x14ac:dyDescent="0.25">
      <c r="A56" s="69" t="s">
        <v>4</v>
      </c>
      <c r="B56" s="36" t="s">
        <v>159</v>
      </c>
      <c r="C56" s="37" t="s">
        <v>160</v>
      </c>
      <c r="D56" s="36" t="s">
        <v>4</v>
      </c>
      <c r="E56" s="12" t="s">
        <v>4</v>
      </c>
      <c r="F56" s="36" t="s">
        <v>4</v>
      </c>
      <c r="G56" s="12" t="s">
        <v>4</v>
      </c>
      <c r="H56" s="12" t="s">
        <v>4</v>
      </c>
      <c r="I56" s="1">
        <f>SUM(I57:I65)</f>
        <v>0</v>
      </c>
      <c r="J56" s="1">
        <f>SUM(J57:J65)</f>
        <v>0</v>
      </c>
      <c r="K56" s="1">
        <f>SUM(K57:K65)</f>
        <v>0</v>
      </c>
      <c r="L56" s="12" t="s">
        <v>4</v>
      </c>
      <c r="M56" s="70">
        <f>SUM(M57:M65)</f>
        <v>0.16125599999999998</v>
      </c>
    </row>
    <row r="57" spans="1:253" x14ac:dyDescent="0.25">
      <c r="A57" s="66">
        <v>26</v>
      </c>
      <c r="B57" s="3" t="s">
        <v>162</v>
      </c>
      <c r="C57" s="5" t="s">
        <v>163</v>
      </c>
      <c r="D57" s="3" t="s">
        <v>80</v>
      </c>
      <c r="E57" s="32">
        <v>15</v>
      </c>
      <c r="F57" s="3" t="s">
        <v>206</v>
      </c>
      <c r="G57" s="31">
        <f>'Stavební rozpočet'!G53</f>
        <v>34.799999999999997</v>
      </c>
      <c r="H57" s="31">
        <f>'Stavební rozpočet'!H53</f>
        <v>0</v>
      </c>
      <c r="I57" s="31">
        <f>ROUND(IR57*G57,2)</f>
        <v>0</v>
      </c>
      <c r="J57" s="31">
        <f>ROUND(IS57*G57,2)</f>
        <v>0</v>
      </c>
      <c r="K57" s="31">
        <f>ROUND(IR57*G57+IS57*G57,2)</f>
        <v>0</v>
      </c>
      <c r="L57" s="31">
        <f>'Stavební rozpočet'!N53</f>
        <v>4.2199999999999998E-3</v>
      </c>
      <c r="M57" s="67">
        <f>L57*G57</f>
        <v>0.14685599999999999</v>
      </c>
      <c r="HV57" s="3" t="s">
        <v>159</v>
      </c>
      <c r="HW57" s="3" t="s">
        <v>175</v>
      </c>
      <c r="IR57" s="68">
        <f>H57*1</f>
        <v>0</v>
      </c>
      <c r="IS57" s="68">
        <f>H57*(1-1)</f>
        <v>0</v>
      </c>
    </row>
    <row r="58" spans="1:253" x14ac:dyDescent="0.25">
      <c r="A58" s="166" t="s">
        <v>54</v>
      </c>
      <c r="B58" s="122"/>
      <c r="C58" s="122"/>
      <c r="D58" s="122"/>
      <c r="E58" s="122"/>
      <c r="F58" s="3" t="s">
        <v>207</v>
      </c>
      <c r="G58" s="31">
        <v>3</v>
      </c>
      <c r="H58" s="31">
        <f>'Stavební rozpočet'!H53</f>
        <v>0</v>
      </c>
      <c r="M58" s="71"/>
      <c r="HV58" s="3" t="s">
        <v>159</v>
      </c>
      <c r="HW58" s="3" t="s">
        <v>175</v>
      </c>
      <c r="IR58" s="68">
        <f>H58*1</f>
        <v>0</v>
      </c>
      <c r="IS58" s="68">
        <f>H58*(1-1)</f>
        <v>0</v>
      </c>
    </row>
    <row r="59" spans="1:253" x14ac:dyDescent="0.25">
      <c r="A59" s="166" t="s">
        <v>54</v>
      </c>
      <c r="B59" s="122"/>
      <c r="C59" s="122"/>
      <c r="D59" s="122"/>
      <c r="E59" s="122"/>
      <c r="F59" s="3" t="s">
        <v>208</v>
      </c>
      <c r="G59" s="31">
        <v>5.8</v>
      </c>
      <c r="H59" s="31">
        <f>'Stavební rozpočet'!H53</f>
        <v>0</v>
      </c>
      <c r="M59" s="71"/>
      <c r="HV59" s="3" t="s">
        <v>159</v>
      </c>
      <c r="HW59" s="3" t="s">
        <v>175</v>
      </c>
      <c r="IR59" s="68">
        <f>H59*1</f>
        <v>0</v>
      </c>
      <c r="IS59" s="68">
        <f>H59*(1-1)</f>
        <v>0</v>
      </c>
    </row>
    <row r="60" spans="1:253" ht="13.5" customHeight="1" x14ac:dyDescent="0.25">
      <c r="A60" s="228" t="s">
        <v>76</v>
      </c>
      <c r="B60" s="229"/>
      <c r="C60" s="207" t="s">
        <v>277</v>
      </c>
      <c r="D60" s="205"/>
      <c r="E60" s="205"/>
      <c r="F60" s="205"/>
      <c r="G60" s="205"/>
      <c r="H60" s="205"/>
      <c r="I60" s="205"/>
      <c r="J60" s="205"/>
      <c r="K60" s="205"/>
      <c r="L60" s="205"/>
      <c r="M60" s="206"/>
    </row>
    <row r="61" spans="1:253" x14ac:dyDescent="0.25">
      <c r="A61" s="66">
        <v>27</v>
      </c>
      <c r="B61" s="3" t="s">
        <v>168</v>
      </c>
      <c r="C61" s="5" t="s">
        <v>169</v>
      </c>
      <c r="D61" s="3" t="s">
        <v>120</v>
      </c>
      <c r="E61" s="32">
        <v>15</v>
      </c>
      <c r="F61" s="3" t="s">
        <v>209</v>
      </c>
      <c r="G61" s="31">
        <f>'Stavební rozpočet'!G55</f>
        <v>265</v>
      </c>
      <c r="H61" s="31">
        <f>'Stavební rozpočet'!H55</f>
        <v>0</v>
      </c>
      <c r="I61" s="31">
        <f>ROUND(IR61*G61,2)</f>
        <v>0</v>
      </c>
      <c r="J61" s="31">
        <f>ROUND(IS61*G61,2)</f>
        <v>0</v>
      </c>
      <c r="K61" s="31">
        <f>ROUND(IR61*G61+IS61*G61,2)</f>
        <v>0</v>
      </c>
      <c r="L61" s="31">
        <f>'Stavební rozpočet'!N55</f>
        <v>0</v>
      </c>
      <c r="M61" s="67">
        <f>L61*G61</f>
        <v>0</v>
      </c>
      <c r="HV61" s="3" t="s">
        <v>159</v>
      </c>
      <c r="HW61" s="3" t="s">
        <v>192</v>
      </c>
      <c r="IR61" s="68">
        <f>H61*0.033928571</f>
        <v>0</v>
      </c>
      <c r="IS61" s="68">
        <f>H61*(1-0.033928571)</f>
        <v>0</v>
      </c>
    </row>
    <row r="62" spans="1:253" x14ac:dyDescent="0.25">
      <c r="A62" s="166" t="s">
        <v>54</v>
      </c>
      <c r="B62" s="122"/>
      <c r="C62" s="122"/>
      <c r="D62" s="122"/>
      <c r="E62" s="122"/>
      <c r="F62" s="3" t="s">
        <v>210</v>
      </c>
      <c r="G62" s="31">
        <v>100</v>
      </c>
      <c r="H62" s="31">
        <f>'Stavební rozpočet'!H55</f>
        <v>0</v>
      </c>
      <c r="M62" s="71"/>
      <c r="HV62" s="3" t="s">
        <v>159</v>
      </c>
      <c r="HW62" s="3" t="s">
        <v>192</v>
      </c>
      <c r="IR62" s="68">
        <f>H62*0.033928571</f>
        <v>0</v>
      </c>
      <c r="IS62" s="68">
        <f>H62*(1-0.033928571)</f>
        <v>0</v>
      </c>
    </row>
    <row r="63" spans="1:253" ht="13.5" customHeight="1" x14ac:dyDescent="0.25">
      <c r="A63" s="228" t="s">
        <v>76</v>
      </c>
      <c r="B63" s="229"/>
      <c r="C63" s="207" t="s">
        <v>170</v>
      </c>
      <c r="D63" s="205"/>
      <c r="E63" s="205"/>
      <c r="F63" s="205"/>
      <c r="G63" s="205"/>
      <c r="H63" s="205"/>
      <c r="I63" s="205"/>
      <c r="J63" s="205"/>
      <c r="K63" s="205"/>
      <c r="L63" s="205"/>
      <c r="M63" s="206"/>
    </row>
    <row r="64" spans="1:253" x14ac:dyDescent="0.25">
      <c r="A64" s="66">
        <v>28</v>
      </c>
      <c r="B64" s="3" t="s">
        <v>172</v>
      </c>
      <c r="C64" s="5" t="s">
        <v>173</v>
      </c>
      <c r="D64" s="3" t="s">
        <v>174</v>
      </c>
      <c r="E64" s="32">
        <v>15</v>
      </c>
      <c r="F64" s="3" t="s">
        <v>211</v>
      </c>
      <c r="G64" s="31">
        <f>'Stavební rozpočet'!G57</f>
        <v>60</v>
      </c>
      <c r="H64" s="31">
        <f>'Stavební rozpočet'!H57</f>
        <v>0</v>
      </c>
      <c r="I64" s="31">
        <f>ROUND(IR64*G64,2)</f>
        <v>0</v>
      </c>
      <c r="J64" s="31">
        <f>ROUND(IS64*G64,2)</f>
        <v>0</v>
      </c>
      <c r="K64" s="31">
        <f>ROUND(IR64*G64+IS64*G64,2)</f>
        <v>0</v>
      </c>
      <c r="L64" s="31">
        <f>'Stavební rozpočet'!N57</f>
        <v>2.4000000000000001E-4</v>
      </c>
      <c r="M64" s="67">
        <f>L64*G64</f>
        <v>1.44E-2</v>
      </c>
      <c r="HV64" s="3" t="s">
        <v>159</v>
      </c>
      <c r="HW64" s="3" t="s">
        <v>192</v>
      </c>
      <c r="IR64" s="68">
        <f>H64*0.343556405</f>
        <v>0</v>
      </c>
      <c r="IS64" s="68">
        <f>H64*(1-0.343556405)</f>
        <v>0</v>
      </c>
    </row>
    <row r="65" spans="1:253" x14ac:dyDescent="0.25">
      <c r="A65" s="166" t="s">
        <v>54</v>
      </c>
      <c r="B65" s="122"/>
      <c r="C65" s="122"/>
      <c r="D65" s="122"/>
      <c r="E65" s="122"/>
      <c r="F65" s="3" t="s">
        <v>212</v>
      </c>
      <c r="G65" s="31">
        <v>4</v>
      </c>
      <c r="H65" s="31">
        <f>'Stavební rozpočet'!H57</f>
        <v>0</v>
      </c>
      <c r="M65" s="71"/>
      <c r="HV65" s="3" t="s">
        <v>159</v>
      </c>
      <c r="HW65" s="3" t="s">
        <v>192</v>
      </c>
      <c r="IR65" s="68">
        <f>H65*0.343556405</f>
        <v>0</v>
      </c>
      <c r="IS65" s="68">
        <f>H65*(1-0.343556405)</f>
        <v>0</v>
      </c>
    </row>
    <row r="66" spans="1:253" x14ac:dyDescent="0.25">
      <c r="A66" s="69" t="s">
        <v>4</v>
      </c>
      <c r="B66" s="36" t="s">
        <v>175</v>
      </c>
      <c r="C66" s="37" t="s">
        <v>176</v>
      </c>
      <c r="D66" s="36" t="s">
        <v>4</v>
      </c>
      <c r="E66" s="12" t="s">
        <v>4</v>
      </c>
      <c r="F66" s="36" t="s">
        <v>4</v>
      </c>
      <c r="G66" s="12" t="s">
        <v>4</v>
      </c>
      <c r="H66" s="12" t="s">
        <v>4</v>
      </c>
      <c r="I66" s="1">
        <f>SUM(I67:I67)</f>
        <v>0</v>
      </c>
      <c r="J66" s="1">
        <f>SUM(J67:J67)</f>
        <v>0</v>
      </c>
      <c r="K66" s="1">
        <f>SUM(K67:K67)</f>
        <v>0</v>
      </c>
      <c r="L66" s="12" t="s">
        <v>4</v>
      </c>
      <c r="M66" s="70">
        <f>SUM(M67:M67)</f>
        <v>0.16</v>
      </c>
    </row>
    <row r="67" spans="1:253" x14ac:dyDescent="0.25">
      <c r="A67" s="66">
        <v>29</v>
      </c>
      <c r="B67" s="3" t="s">
        <v>178</v>
      </c>
      <c r="C67" s="5" t="s">
        <v>179</v>
      </c>
      <c r="D67" s="3" t="s">
        <v>120</v>
      </c>
      <c r="E67" s="32">
        <v>21</v>
      </c>
      <c r="F67" s="3" t="s">
        <v>213</v>
      </c>
      <c r="G67" s="31">
        <f>'Stavební rozpočet'!G59</f>
        <v>160</v>
      </c>
      <c r="H67" s="31">
        <f>'Stavební rozpočet'!H59</f>
        <v>0</v>
      </c>
      <c r="I67" s="31">
        <f>ROUND(IR67*G67,2)</f>
        <v>0</v>
      </c>
      <c r="J67" s="31">
        <f>ROUND(IS67*G67,2)</f>
        <v>0</v>
      </c>
      <c r="K67" s="31">
        <f>ROUND(IR67*G67+IS67*G67,2)</f>
        <v>0</v>
      </c>
      <c r="L67" s="31">
        <f>'Stavební rozpočet'!N59</f>
        <v>1E-3</v>
      </c>
      <c r="M67" s="67">
        <f>L67*G67</f>
        <v>0.16</v>
      </c>
      <c r="HV67" s="3" t="s">
        <v>214</v>
      </c>
      <c r="HW67" s="3" t="s">
        <v>175</v>
      </c>
      <c r="IR67" s="68">
        <f>H67*1</f>
        <v>0</v>
      </c>
      <c r="IS67" s="68">
        <f>H67*(1-1)</f>
        <v>0</v>
      </c>
    </row>
    <row r="68" spans="1:253" x14ac:dyDescent="0.25">
      <c r="A68" s="230"/>
      <c r="B68" s="231"/>
      <c r="C68" s="200"/>
      <c r="D68" s="201"/>
      <c r="E68" s="201"/>
      <c r="F68" s="201"/>
      <c r="G68" s="201"/>
      <c r="H68" s="201"/>
      <c r="I68" s="201"/>
      <c r="J68" s="201"/>
      <c r="K68" s="201"/>
      <c r="L68" s="201"/>
      <c r="M68" s="202"/>
    </row>
    <row r="70" spans="1:253" x14ac:dyDescent="0.25">
      <c r="J70" s="4" t="s">
        <v>183</v>
      </c>
      <c r="K70" s="72">
        <f>ROUND(K11+K14+K25+K36+K48+K56+K66,2)</f>
        <v>0</v>
      </c>
    </row>
  </sheetData>
  <mergeCells count="60">
    <mergeCell ref="A1:M1"/>
    <mergeCell ref="A2:B3"/>
    <mergeCell ref="A4:B5"/>
    <mergeCell ref="A6:B7"/>
    <mergeCell ref="A8:B9"/>
    <mergeCell ref="C2:C3"/>
    <mergeCell ref="C4:C5"/>
    <mergeCell ref="C6:C7"/>
    <mergeCell ref="C8:C9"/>
    <mergeCell ref="D2:D3"/>
    <mergeCell ref="D4:D5"/>
    <mergeCell ref="D6:D7"/>
    <mergeCell ref="D8:D9"/>
    <mergeCell ref="E2:E3"/>
    <mergeCell ref="E4:E5"/>
    <mergeCell ref="E6:E7"/>
    <mergeCell ref="G2:M3"/>
    <mergeCell ref="G4:M5"/>
    <mergeCell ref="G6:M7"/>
    <mergeCell ref="G8:M9"/>
    <mergeCell ref="A16:E16"/>
    <mergeCell ref="E8:E9"/>
    <mergeCell ref="F2:F3"/>
    <mergeCell ref="F4:F5"/>
    <mergeCell ref="F6:F7"/>
    <mergeCell ref="F8:F9"/>
    <mergeCell ref="A17:B17"/>
    <mergeCell ref="C17:M17"/>
    <mergeCell ref="A22:B22"/>
    <mergeCell ref="C22:M22"/>
    <mergeCell ref="A24:E24"/>
    <mergeCell ref="A28:E28"/>
    <mergeCell ref="A29:B29"/>
    <mergeCell ref="C29:M29"/>
    <mergeCell ref="A31:E31"/>
    <mergeCell ref="A33:E33"/>
    <mergeCell ref="A35:B35"/>
    <mergeCell ref="C35:M35"/>
    <mergeCell ref="A39:B39"/>
    <mergeCell ref="C39:M39"/>
    <mergeCell ref="A41:B41"/>
    <mergeCell ref="C41:M41"/>
    <mergeCell ref="A43:B43"/>
    <mergeCell ref="C43:M43"/>
    <mergeCell ref="A45:B45"/>
    <mergeCell ref="C45:M45"/>
    <mergeCell ref="A47:B47"/>
    <mergeCell ref="C47:M47"/>
    <mergeCell ref="A53:B53"/>
    <mergeCell ref="C53:M53"/>
    <mergeCell ref="A58:E58"/>
    <mergeCell ref="A59:E59"/>
    <mergeCell ref="A60:B60"/>
    <mergeCell ref="C60:M60"/>
    <mergeCell ref="A62:E62"/>
    <mergeCell ref="A63:B63"/>
    <mergeCell ref="C63:M63"/>
    <mergeCell ref="A65:E65"/>
    <mergeCell ref="A68:B68"/>
    <mergeCell ref="C68:M68"/>
  </mergeCells>
  <pageMargins left="0.393999993801117" right="0.393999993801117" top="0.59100002050399802" bottom="0.59100002050399802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Krycí list rozpočtu</vt:lpstr>
      <vt:lpstr>VORN</vt:lpstr>
      <vt:lpstr>Stavební rozpočet - součet</vt:lpstr>
      <vt:lpstr>Stavební rozpočet</vt:lpstr>
      <vt:lpstr>Rozpočet - vybrané sloupce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Lenka Szabó</cp:lastModifiedBy>
  <dcterms:created xsi:type="dcterms:W3CDTF">2021-06-10T20:06:38Z</dcterms:created>
  <dcterms:modified xsi:type="dcterms:W3CDTF">2025-07-18T09:19:00Z</dcterms:modified>
</cp:coreProperties>
</file>