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PROFILE\A-K-C-E\2024-15249-spis-04005-Fojtstvi-soc-zarizeni-1PP\2024-VZMR-Fojtstvi-01-Sanace-vlhkosti\"/>
    </mc:Choice>
  </mc:AlternateContent>
  <bookViews>
    <workbookView xWindow="3090" yWindow="30" windowWidth="22740" windowHeight="12210"/>
  </bookViews>
  <sheets>
    <sheet name="Rozpočet - vybrané sloupce" sheetId="1" r:id="rId1"/>
    <sheet name="Krycí list rozpočtu" sheetId="3" r:id="rId2"/>
    <sheet name="VORN" sheetId="4" state="hidden" r:id="rId3"/>
    <sheet name="Stavební rozpočet" sheetId="5" state="hidden" r:id="rId4"/>
  </sheets>
  <definedNames>
    <definedName name="vorn_sum">VORN!$I$36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W30" i="5" l="1"/>
  <c r="AK30" i="5"/>
  <c r="AT29" i="5" s="1"/>
  <c r="AJ30" i="5"/>
  <c r="AS29" i="5" s="1"/>
  <c r="AH30" i="5"/>
  <c r="AG30" i="5"/>
  <c r="AF30" i="5"/>
  <c r="AE30" i="5"/>
  <c r="AD30" i="5"/>
  <c r="Z30" i="5"/>
  <c r="H30" i="5"/>
  <c r="AP30" i="5" s="1"/>
  <c r="G30" i="5"/>
  <c r="BW28" i="5"/>
  <c r="AK28" i="5"/>
  <c r="AJ28" i="5"/>
  <c r="AS27" i="5" s="1"/>
  <c r="AH28" i="5"/>
  <c r="AG28" i="5"/>
  <c r="AF28" i="5"/>
  <c r="AC28" i="5"/>
  <c r="AB28" i="5"/>
  <c r="Z28" i="5"/>
  <c r="O28" i="5"/>
  <c r="H28" i="5"/>
  <c r="BD28" i="5" s="1"/>
  <c r="G28" i="5"/>
  <c r="AT27" i="5"/>
  <c r="BW26" i="5"/>
  <c r="AK26" i="5"/>
  <c r="AJ26" i="5"/>
  <c r="AH26" i="5"/>
  <c r="AG26" i="5"/>
  <c r="AF26" i="5"/>
  <c r="AE26" i="5"/>
  <c r="AD26" i="5"/>
  <c r="Z26" i="5"/>
  <c r="H26" i="5"/>
  <c r="AP26" i="5" s="1"/>
  <c r="G26" i="5"/>
  <c r="BW25" i="5"/>
  <c r="AO25" i="5"/>
  <c r="AW25" i="5" s="1"/>
  <c r="AK25" i="5"/>
  <c r="AJ25" i="5"/>
  <c r="AS24" i="5" s="1"/>
  <c r="AH25" i="5"/>
  <c r="AG25" i="5"/>
  <c r="AF25" i="5"/>
  <c r="AE25" i="5"/>
  <c r="AD25" i="5"/>
  <c r="Z25" i="5"/>
  <c r="O25" i="5"/>
  <c r="H25" i="5"/>
  <c r="BD25" i="5" s="1"/>
  <c r="G25" i="5"/>
  <c r="BJ25" i="5" s="1"/>
  <c r="BW23" i="5"/>
  <c r="AK23" i="5"/>
  <c r="AJ23" i="5"/>
  <c r="AH23" i="5"/>
  <c r="AG23" i="5"/>
  <c r="AF23" i="5"/>
  <c r="AE23" i="5"/>
  <c r="AD23" i="5"/>
  <c r="Z23" i="5"/>
  <c r="H23" i="5"/>
  <c r="AP23" i="5" s="1"/>
  <c r="G23" i="5"/>
  <c r="BW22" i="5"/>
  <c r="AK22" i="5"/>
  <c r="AJ22" i="5"/>
  <c r="AH22" i="5"/>
  <c r="AG22" i="5"/>
  <c r="AF22" i="5"/>
  <c r="AE22" i="5"/>
  <c r="AD22" i="5"/>
  <c r="Z22" i="5"/>
  <c r="O22" i="5"/>
  <c r="BF22" i="5" s="1"/>
  <c r="H22" i="5"/>
  <c r="BD22" i="5" s="1"/>
  <c r="G22" i="5"/>
  <c r="BW21" i="5"/>
  <c r="AK21" i="5"/>
  <c r="AJ21" i="5"/>
  <c r="AH21" i="5"/>
  <c r="AG21" i="5"/>
  <c r="AF21" i="5"/>
  <c r="AE21" i="5"/>
  <c r="AD21" i="5"/>
  <c r="Z21" i="5"/>
  <c r="L21" i="5"/>
  <c r="H21" i="5"/>
  <c r="AP21" i="5" s="1"/>
  <c r="G21" i="5"/>
  <c r="BW20" i="5"/>
  <c r="AK20" i="5"/>
  <c r="AJ20" i="5"/>
  <c r="AS19" i="5" s="1"/>
  <c r="AH20" i="5"/>
  <c r="AG20" i="5"/>
  <c r="AF20" i="5"/>
  <c r="AE20" i="5"/>
  <c r="AD20" i="5"/>
  <c r="Z20" i="5"/>
  <c r="O20" i="5"/>
  <c r="H20" i="5"/>
  <c r="BD20" i="5" s="1"/>
  <c r="G20" i="5"/>
  <c r="BW18" i="5"/>
  <c r="BJ18" i="5"/>
  <c r="AK18" i="5"/>
  <c r="AJ18" i="5"/>
  <c r="AH18" i="5"/>
  <c r="AG18" i="5"/>
  <c r="AF18" i="5"/>
  <c r="AE18" i="5"/>
  <c r="AD18" i="5"/>
  <c r="Z18" i="5"/>
  <c r="L18" i="5"/>
  <c r="H18" i="5"/>
  <c r="AP18" i="5" s="1"/>
  <c r="G18" i="5"/>
  <c r="BW17" i="5"/>
  <c r="AK17" i="5"/>
  <c r="AJ17" i="5"/>
  <c r="AH17" i="5"/>
  <c r="AG17" i="5"/>
  <c r="AF17" i="5"/>
  <c r="AE17" i="5"/>
  <c r="AD17" i="5"/>
  <c r="Z17" i="5"/>
  <c r="O17" i="5"/>
  <c r="BF17" i="5" s="1"/>
  <c r="H17" i="5"/>
  <c r="BD17" i="5" s="1"/>
  <c r="G17" i="5"/>
  <c r="BW16" i="5"/>
  <c r="AK16" i="5"/>
  <c r="AJ16" i="5"/>
  <c r="AH16" i="5"/>
  <c r="AG16" i="5"/>
  <c r="AF16" i="5"/>
  <c r="AE16" i="5"/>
  <c r="AD16" i="5"/>
  <c r="Z16" i="5"/>
  <c r="H16" i="5"/>
  <c r="AP16" i="5" s="1"/>
  <c r="G16" i="5"/>
  <c r="AS15" i="5"/>
  <c r="BW14" i="5"/>
  <c r="AK14" i="5"/>
  <c r="AJ14" i="5"/>
  <c r="AH14" i="5"/>
  <c r="AG14" i="5"/>
  <c r="AF14" i="5"/>
  <c r="AE14" i="5"/>
  <c r="AD14" i="5"/>
  <c r="Z14" i="5"/>
  <c r="O14" i="5"/>
  <c r="BF14" i="5" s="1"/>
  <c r="H14" i="5"/>
  <c r="BD14" i="5" s="1"/>
  <c r="G14" i="5"/>
  <c r="BW13" i="5"/>
  <c r="AK13" i="5"/>
  <c r="AJ13" i="5"/>
  <c r="AS12" i="5" s="1"/>
  <c r="AH13" i="5"/>
  <c r="AG13" i="5"/>
  <c r="AF13" i="5"/>
  <c r="AE13" i="5"/>
  <c r="AD13" i="5"/>
  <c r="Z13" i="5"/>
  <c r="H13" i="5"/>
  <c r="AP13" i="5" s="1"/>
  <c r="G13" i="5"/>
  <c r="AU1" i="5"/>
  <c r="AT1" i="5"/>
  <c r="AS1" i="5"/>
  <c r="I36" i="4"/>
  <c r="I35" i="4"/>
  <c r="I26" i="4"/>
  <c r="I19" i="3" s="1"/>
  <c r="I25" i="4"/>
  <c r="I24" i="4"/>
  <c r="I23" i="4"/>
  <c r="I22" i="4"/>
  <c r="I27" i="4" s="1"/>
  <c r="I21" i="4"/>
  <c r="I17" i="4"/>
  <c r="F16" i="3" s="1"/>
  <c r="I16" i="4"/>
  <c r="I18" i="4" s="1"/>
  <c r="F29" i="4" s="1"/>
  <c r="I15" i="4"/>
  <c r="I10" i="4"/>
  <c r="F10" i="4"/>
  <c r="C10" i="4"/>
  <c r="F8" i="4"/>
  <c r="C8" i="4"/>
  <c r="F6" i="4"/>
  <c r="C6" i="4"/>
  <c r="F4" i="4"/>
  <c r="C4" i="4"/>
  <c r="F2" i="4"/>
  <c r="C2" i="4"/>
  <c r="I24" i="3"/>
  <c r="I18" i="3"/>
  <c r="I17" i="3"/>
  <c r="I16" i="3"/>
  <c r="I15" i="3"/>
  <c r="F15" i="3"/>
  <c r="I14" i="3"/>
  <c r="F14" i="3"/>
  <c r="I10" i="3"/>
  <c r="F10" i="3"/>
  <c r="C10" i="3"/>
  <c r="F8" i="3"/>
  <c r="C8" i="3"/>
  <c r="F6" i="3"/>
  <c r="C6" i="3"/>
  <c r="F4" i="3"/>
  <c r="C4" i="3"/>
  <c r="F2" i="3"/>
  <c r="C2" i="3"/>
  <c r="IS41" i="1"/>
  <c r="IR41" i="1"/>
  <c r="I41" i="1" s="1"/>
  <c r="I40" i="1" s="1"/>
  <c r="IS39" i="1"/>
  <c r="IR39" i="1"/>
  <c r="IS38" i="1"/>
  <c r="IR38" i="1"/>
  <c r="IS37" i="1"/>
  <c r="IR37" i="1"/>
  <c r="I37" i="1"/>
  <c r="I36" i="1" s="1"/>
  <c r="IS35" i="1"/>
  <c r="IR35" i="1"/>
  <c r="IS34" i="1"/>
  <c r="IR34" i="1"/>
  <c r="I34" i="1" s="1"/>
  <c r="IS33" i="1"/>
  <c r="IR33" i="1"/>
  <c r="IS32" i="1"/>
  <c r="I32" i="1" s="1"/>
  <c r="I31" i="1" s="1"/>
  <c r="IR32" i="1"/>
  <c r="IS30" i="1"/>
  <c r="IR30" i="1"/>
  <c r="IS29" i="1"/>
  <c r="IR29" i="1"/>
  <c r="IS28" i="1"/>
  <c r="IR28" i="1"/>
  <c r="I28" i="1" s="1"/>
  <c r="IS27" i="1"/>
  <c r="IR27" i="1"/>
  <c r="I27" i="1" s="1"/>
  <c r="IS26" i="1"/>
  <c r="IR26" i="1"/>
  <c r="IS25" i="1"/>
  <c r="I25" i="1" s="1"/>
  <c r="IR25" i="1"/>
  <c r="IS23" i="1"/>
  <c r="IR23" i="1"/>
  <c r="IS22" i="1"/>
  <c r="IR22" i="1"/>
  <c r="IS21" i="1"/>
  <c r="IR21" i="1"/>
  <c r="IS20" i="1"/>
  <c r="I20" i="1" s="1"/>
  <c r="IR20" i="1"/>
  <c r="IS19" i="1"/>
  <c r="IR19" i="1"/>
  <c r="IS18" i="1"/>
  <c r="IR18" i="1"/>
  <c r="IS17" i="1"/>
  <c r="IR17" i="1"/>
  <c r="IS15" i="1"/>
  <c r="IR15" i="1"/>
  <c r="IS14" i="1"/>
  <c r="IR14" i="1"/>
  <c r="I14" i="1"/>
  <c r="IS13" i="1"/>
  <c r="IR13" i="1"/>
  <c r="IS12" i="1"/>
  <c r="IR12" i="1"/>
  <c r="I12" i="1"/>
  <c r="G8" i="1"/>
  <c r="E8" i="1"/>
  <c r="C8" i="1"/>
  <c r="G6" i="1"/>
  <c r="E6" i="1"/>
  <c r="C6" i="1"/>
  <c r="G4" i="1"/>
  <c r="E4" i="1"/>
  <c r="C4" i="1"/>
  <c r="G2" i="1"/>
  <c r="E2" i="1"/>
  <c r="C2" i="1"/>
  <c r="AO22" i="5" l="1"/>
  <c r="AW22" i="5" s="1"/>
  <c r="BJ22" i="5"/>
  <c r="I29" i="1"/>
  <c r="AT19" i="5"/>
  <c r="BD23" i="5"/>
  <c r="BD30" i="5"/>
  <c r="AO28" i="5"/>
  <c r="AW28" i="5" s="1"/>
  <c r="AP28" i="5"/>
  <c r="BD26" i="5"/>
  <c r="AP25" i="5"/>
  <c r="AT24" i="5"/>
  <c r="C19" i="3"/>
  <c r="AP22" i="5"/>
  <c r="C21" i="3"/>
  <c r="BD21" i="5"/>
  <c r="BJ21" i="5"/>
  <c r="BJ20" i="5"/>
  <c r="AO20" i="5"/>
  <c r="AP20" i="5"/>
  <c r="BD18" i="5"/>
  <c r="BJ17" i="5"/>
  <c r="AO17" i="5"/>
  <c r="AP17" i="5"/>
  <c r="AT15" i="5"/>
  <c r="I17" i="1"/>
  <c r="BD16" i="5"/>
  <c r="AP14" i="5"/>
  <c r="I11" i="1"/>
  <c r="AO14" i="5"/>
  <c r="C27" i="3"/>
  <c r="BD13" i="5"/>
  <c r="I24" i="1"/>
  <c r="BI13" i="5"/>
  <c r="AC13" i="5" s="1"/>
  <c r="K13" i="5"/>
  <c r="AX13" i="5"/>
  <c r="O13" i="5"/>
  <c r="BI16" i="5"/>
  <c r="AC16" i="5" s="1"/>
  <c r="K16" i="5"/>
  <c r="AX16" i="5"/>
  <c r="O16" i="5"/>
  <c r="AL18" i="5"/>
  <c r="M18" i="5"/>
  <c r="BF20" i="5"/>
  <c r="AL21" i="5"/>
  <c r="M21" i="5"/>
  <c r="J22" i="5"/>
  <c r="BI23" i="5"/>
  <c r="AC23" i="5" s="1"/>
  <c r="K23" i="5"/>
  <c r="AX23" i="5"/>
  <c r="O23" i="5"/>
  <c r="BF23" i="5" s="1"/>
  <c r="J25" i="5"/>
  <c r="BI26" i="5"/>
  <c r="AC26" i="5" s="1"/>
  <c r="K26" i="5"/>
  <c r="AX26" i="5"/>
  <c r="O26" i="5"/>
  <c r="BF26" i="5" s="1"/>
  <c r="BI30" i="5"/>
  <c r="AC30" i="5" s="1"/>
  <c r="K30" i="5"/>
  <c r="K29" i="5" s="1"/>
  <c r="AX30" i="5"/>
  <c r="O30" i="5"/>
  <c r="BJ30" i="5"/>
  <c r="F22" i="3"/>
  <c r="L13" i="5"/>
  <c r="BJ13" i="5"/>
  <c r="C20" i="3"/>
  <c r="I22" i="1"/>
  <c r="I16" i="1" s="1"/>
  <c r="I22" i="3"/>
  <c r="C18" i="3"/>
  <c r="AT12" i="5"/>
  <c r="C28" i="3"/>
  <c r="F28" i="3" s="1"/>
  <c r="L16" i="5"/>
  <c r="BJ16" i="5"/>
  <c r="J17" i="5"/>
  <c r="BI18" i="5"/>
  <c r="AC18" i="5" s="1"/>
  <c r="K18" i="5"/>
  <c r="BH18" i="5"/>
  <c r="AB18" i="5" s="1"/>
  <c r="AX18" i="5"/>
  <c r="O18" i="5"/>
  <c r="BF18" i="5" s="1"/>
  <c r="AW18" i="5"/>
  <c r="J20" i="5"/>
  <c r="BI21" i="5"/>
  <c r="AC21" i="5" s="1"/>
  <c r="K21" i="5"/>
  <c r="AX21" i="5"/>
  <c r="O21" i="5"/>
  <c r="BF21" i="5" s="1"/>
  <c r="BH22" i="5"/>
  <c r="AB22" i="5" s="1"/>
  <c r="L23" i="5"/>
  <c r="BJ23" i="5"/>
  <c r="BF25" i="5"/>
  <c r="O24" i="5"/>
  <c r="BH25" i="5"/>
  <c r="AB25" i="5" s="1"/>
  <c r="L26" i="5"/>
  <c r="BJ26" i="5"/>
  <c r="BF28" i="5"/>
  <c r="O27" i="5"/>
  <c r="L30" i="5"/>
  <c r="AO13" i="5"/>
  <c r="J13" i="5" s="1"/>
  <c r="L14" i="5"/>
  <c r="BJ14" i="5"/>
  <c r="AO16" i="5"/>
  <c r="BH16" i="5" s="1"/>
  <c r="AB16" i="5" s="1"/>
  <c r="L17" i="5"/>
  <c r="AO18" i="5"/>
  <c r="J18" i="5" s="1"/>
  <c r="L20" i="5"/>
  <c r="AO21" i="5"/>
  <c r="J21" i="5" s="1"/>
  <c r="L22" i="5"/>
  <c r="AO23" i="5"/>
  <c r="J23" i="5" s="1"/>
  <c r="L25" i="5"/>
  <c r="AO26" i="5"/>
  <c r="J26" i="5" s="1"/>
  <c r="L28" i="5"/>
  <c r="BJ28" i="5"/>
  <c r="AO30" i="5"/>
  <c r="J30" i="5" s="1"/>
  <c r="J29" i="5" s="1"/>
  <c r="I43" i="1" l="1"/>
  <c r="J28" i="5"/>
  <c r="J27" i="5" s="1"/>
  <c r="BH28" i="5"/>
  <c r="AD28" i="5" s="1"/>
  <c r="C16" i="3" s="1"/>
  <c r="BI28" i="5"/>
  <c r="AE28" i="5" s="1"/>
  <c r="C17" i="3" s="1"/>
  <c r="AX28" i="5"/>
  <c r="K28" i="5"/>
  <c r="K27" i="5" s="1"/>
  <c r="BI25" i="5"/>
  <c r="AC25" i="5" s="1"/>
  <c r="AX25" i="5"/>
  <c r="K25" i="5"/>
  <c r="K24" i="5"/>
  <c r="AW23" i="5"/>
  <c r="BH23" i="5"/>
  <c r="AB23" i="5" s="1"/>
  <c r="BI22" i="5"/>
  <c r="AC22" i="5" s="1"/>
  <c r="AX22" i="5"/>
  <c r="K22" i="5"/>
  <c r="BI20" i="5"/>
  <c r="AC20" i="5" s="1"/>
  <c r="AX20" i="5"/>
  <c r="K20" i="5"/>
  <c r="AW20" i="5"/>
  <c r="BH20" i="5"/>
  <c r="AB20" i="5" s="1"/>
  <c r="BI17" i="5"/>
  <c r="AC17" i="5" s="1"/>
  <c r="AX17" i="5"/>
  <c r="K17" i="5"/>
  <c r="K15" i="5" s="1"/>
  <c r="AW17" i="5"/>
  <c r="BH17" i="5"/>
  <c r="AB17" i="5" s="1"/>
  <c r="J14" i="5"/>
  <c r="BH14" i="5"/>
  <c r="AB14" i="5" s="1"/>
  <c r="AW14" i="5"/>
  <c r="J12" i="5"/>
  <c r="BI14" i="5"/>
  <c r="AC14" i="5" s="1"/>
  <c r="AX14" i="5"/>
  <c r="K14" i="5"/>
  <c r="K12" i="5" s="1"/>
  <c r="AW13" i="5"/>
  <c r="BH13" i="5"/>
  <c r="AB13" i="5" s="1"/>
  <c r="L29" i="5"/>
  <c r="AL30" i="5"/>
  <c r="AU29" i="5" s="1"/>
  <c r="M30" i="5"/>
  <c r="M29" i="5" s="1"/>
  <c r="AW21" i="5"/>
  <c r="BH21" i="5"/>
  <c r="AB21" i="5" s="1"/>
  <c r="BC18" i="5"/>
  <c r="AV18" i="5"/>
  <c r="BF30" i="5"/>
  <c r="O29" i="5"/>
  <c r="J24" i="5"/>
  <c r="J16" i="5"/>
  <c r="J15" i="5" s="1"/>
  <c r="AL25" i="5"/>
  <c r="M25" i="5"/>
  <c r="L24" i="5"/>
  <c r="AL20" i="5"/>
  <c r="M20" i="5"/>
  <c r="L19" i="5"/>
  <c r="AL26" i="5"/>
  <c r="M26" i="5"/>
  <c r="L15" i="5"/>
  <c r="AL16" i="5"/>
  <c r="M16" i="5"/>
  <c r="AW26" i="5"/>
  <c r="BH26" i="5"/>
  <c r="AB26" i="5" s="1"/>
  <c r="BC23" i="5"/>
  <c r="AV23" i="5"/>
  <c r="BF16" i="5"/>
  <c r="O15" i="5"/>
  <c r="BC13" i="5"/>
  <c r="AV13" i="5"/>
  <c r="AL14" i="5"/>
  <c r="M14" i="5"/>
  <c r="AL23" i="5"/>
  <c r="M23" i="5"/>
  <c r="AW30" i="5"/>
  <c r="BH30" i="5"/>
  <c r="AB30" i="5" s="1"/>
  <c r="AL28" i="5"/>
  <c r="AU27" i="5" s="1"/>
  <c r="M28" i="5"/>
  <c r="M27" i="5" s="1"/>
  <c r="L27" i="5"/>
  <c r="AL22" i="5"/>
  <c r="M22" i="5"/>
  <c r="AL17" i="5"/>
  <c r="M17" i="5"/>
  <c r="AV28" i="5"/>
  <c r="BC28" i="5"/>
  <c r="J19" i="5"/>
  <c r="L12" i="5"/>
  <c r="AL13" i="5"/>
  <c r="AU12" i="5" s="1"/>
  <c r="M13" i="5"/>
  <c r="O19" i="5"/>
  <c r="AW16" i="5"/>
  <c r="BF13" i="5"/>
  <c r="O12" i="5"/>
  <c r="K19" i="5" l="1"/>
  <c r="AV25" i="5"/>
  <c r="BC25" i="5"/>
  <c r="AV22" i="5"/>
  <c r="BC22" i="5"/>
  <c r="AU19" i="5"/>
  <c r="C14" i="3"/>
  <c r="C15" i="3"/>
  <c r="AV20" i="5"/>
  <c r="BC20" i="5"/>
  <c r="M15" i="5"/>
  <c r="AV17" i="5"/>
  <c r="BC17" i="5"/>
  <c r="M12" i="5"/>
  <c r="AV14" i="5"/>
  <c r="BC14" i="5"/>
  <c r="C29" i="3"/>
  <c r="F29" i="3" s="1"/>
  <c r="BC26" i="5"/>
  <c r="AV26" i="5"/>
  <c r="BC21" i="5"/>
  <c r="AV21" i="5"/>
  <c r="AU15" i="5"/>
  <c r="M24" i="5"/>
  <c r="BC16" i="5"/>
  <c r="AV16" i="5"/>
  <c r="L31" i="5"/>
  <c r="BC30" i="5"/>
  <c r="AV30" i="5"/>
  <c r="M19" i="5"/>
  <c r="AU24" i="5"/>
  <c r="M31" i="5" l="1"/>
  <c r="C22" i="3"/>
  <c r="I28" i="3"/>
  <c r="I29" i="3" s="1"/>
</calcChain>
</file>

<file path=xl/sharedStrings.xml><?xml version="1.0" encoding="utf-8"?>
<sst xmlns="http://schemas.openxmlformats.org/spreadsheetml/2006/main" count="730" uniqueCount="207">
  <si>
    <t>Stavební rozpočet</t>
  </si>
  <si>
    <t>Název stavby:</t>
  </si>
  <si>
    <t>Doba výstavby:</t>
  </si>
  <si>
    <t>Objednatel:</t>
  </si>
  <si>
    <t>Druh stavby:</t>
  </si>
  <si>
    <t>Začátek výstavby:</t>
  </si>
  <si>
    <t>Projektant:</t>
  </si>
  <si>
    <t>Lokalita:</t>
  </si>
  <si>
    <t>Konec výstavby:</t>
  </si>
  <si>
    <t>Zhotovitel:</t>
  </si>
  <si>
    <t>JKSO:</t>
  </si>
  <si>
    <t>Zpracováno dne:</t>
  </si>
  <si>
    <t>Zpracoval:</t>
  </si>
  <si>
    <t>Č</t>
  </si>
  <si>
    <t>Kód</t>
  </si>
  <si>
    <t>Zkrácený popis</t>
  </si>
  <si>
    <t>Varianta</t>
  </si>
  <si>
    <t>MJ</t>
  </si>
  <si>
    <t>Rozměry</t>
  </si>
  <si>
    <t>Množství</t>
  </si>
  <si>
    <t>Jednotková cena (Kč)</t>
  </si>
  <si>
    <t>Náklady celkem (Kč)</t>
  </si>
  <si>
    <t>RTS komentář</t>
  </si>
  <si>
    <t>Cenová soustava</t>
  </si>
  <si>
    <t>GROUPCODE</t>
  </si>
  <si>
    <t>ISWORK</t>
  </si>
  <si>
    <t xml:space="preserve"> </t>
  </si>
  <si>
    <t>28</t>
  </si>
  <si>
    <t>Zpevňování hornin a konstrukcí</t>
  </si>
  <si>
    <t>281606134R00</t>
  </si>
  <si>
    <t>Beztlaková krémová injektáž cihelného zdiva hmotou KÖSTER Crisin Cream, tl. zdiva do 450 mm</t>
  </si>
  <si>
    <t/>
  </si>
  <si>
    <t>m</t>
  </si>
  <si>
    <t>Vyvrtání otvorů 10 ks/m ve spáře zdiva, vyčištění vrtu od hrubých nečistot, zaplnění otvorů injektážní pastou. Aplikace tlakovou pistolí. Uzavření vyplněných otvorů těsnicí maltou. Měrnou jednotkou je půdorysná délka zdiva. Tloušťa zdiva se měří bez omítek</t>
  </si>
  <si>
    <t>RTS I / 2024</t>
  </si>
  <si>
    <t>P</t>
  </si>
  <si>
    <t>(12,8+14,8-1)*2   pro tl zdiva 0,8-0,9m</t>
  </si>
  <si>
    <t>281606135R00</t>
  </si>
  <si>
    <t>Beztlaková krémová injektáž cihelného zdiva hmotou KÖSTER Crisin Cream, tl. zdiva do 600 mm</t>
  </si>
  <si>
    <t>9,05-0,8-0,8</t>
  </si>
  <si>
    <t>31</t>
  </si>
  <si>
    <t>Zdi podpěrné a volné</t>
  </si>
  <si>
    <t>319211311RT4</t>
  </si>
  <si>
    <t>Vytmelení zdiva těsnicí maltou, spotř.do 10 kg/m2</t>
  </si>
  <si>
    <t>maltou KÖSTER Repair Mortar</t>
  </si>
  <si>
    <t>m2</t>
  </si>
  <si>
    <t>Položka je kalkulována bez pomocného lešení a bez odsekání vadných cihel</t>
  </si>
  <si>
    <t>0,3*(9,05-0,8-0,8+(4*0,65)+9,05-0,8-0,8+2*0,65+2*(1,7-0,8)+5,85+1+1)</t>
  </si>
  <si>
    <t>0,5*2*(9,05+4,6)</t>
  </si>
  <si>
    <t>319211331RT4</t>
  </si>
  <si>
    <t>Fabion z malty v koutu podlahy r 25 mm</t>
  </si>
  <si>
    <t>9,05-0,8-0,8+(4*0,65)+9,05-0,8-0,8+2*0,65+2*(1,7-0,8)+5,85</t>
  </si>
  <si>
    <t>319211332RT4</t>
  </si>
  <si>
    <t>Fabion z malty v koutu podlahy poloměr 50 mm</t>
  </si>
  <si>
    <t>2*(9,05+4,6)</t>
  </si>
  <si>
    <t>60</t>
  </si>
  <si>
    <t>Omítky ze suchých směsí</t>
  </si>
  <si>
    <t>602034103RT1</t>
  </si>
  <si>
    <t>Postřik stěn sanační KÖSTER Restoration Plaster Key Coarse , ručně</t>
  </si>
  <si>
    <t>síťovitě, 4 kg/m2</t>
  </si>
  <si>
    <t xml:space="preserve">Postřik ze suché omítkové směsi. 50 % pokrytí plochy. V položce nejsou zakalkulovány náklady na pomocné lešení. </t>
  </si>
  <si>
    <t>1*(9,05-0,8-0,8+(4*0,65)+9,05-0,8-0,8+2*0,65+2*(1,7-0,8)+5,85+1+1)</t>
  </si>
  <si>
    <t>602034123RT3</t>
  </si>
  <si>
    <t>Omítka jádrová sanační, na stěnách, KÖSTER Restoration Plaster White/Light, ručně</t>
  </si>
  <si>
    <t>tloušťka vrstvy 30 mm</t>
  </si>
  <si>
    <t>Položka je kalkulována jako jedna z vrstev omítkové skladby. Položky za jednotlivé požadované vrstvy se sčítají.  V položce nejsou zakalkulovány náklady na pomocné lešení. V položce nejsou zakalkulovány náklady na použití rohových lišt a armovací skelné tkaniny.</t>
  </si>
  <si>
    <t>602034151R00</t>
  </si>
  <si>
    <t>Štuk na stěnách sanační, vnitřní nebo vnější, KÖSTER Fine Plaster, tl. 2,5 mm, ručně</t>
  </si>
  <si>
    <t>602034121RT3</t>
  </si>
  <si>
    <t>Podhoz na stěnách sanační KÖSTER Restoration Plaster Grey/Light, ručně</t>
  </si>
  <si>
    <t>tloušťka vrstvy 20 mm</t>
  </si>
  <si>
    <t>Omítková vrstva ze suché směsi. Slouží k vyrovnání hrubých nerovností omítaného podkladu a jako vrstva pro ukládání škodlivých solí. Položka je kalkulována jako jedna z vrstev omítkové skladby. Položky za jednotlivé požadované vrstvy se sčítají.  V položce nejsou zakalkulovány náklady na pomocné lešení. V položce nejsou zakalkulovány náklady na použití rohových lišt a armovací skelné tkaniny.</t>
  </si>
  <si>
    <t>0,2*28,45   20% plochy omítek</t>
  </si>
  <si>
    <t>62</t>
  </si>
  <si>
    <t>Úprava povrchů vnější</t>
  </si>
  <si>
    <t>620401211R00</t>
  </si>
  <si>
    <t>Nátěr k neutralizaci solí Köster Polysil TG 500</t>
  </si>
  <si>
    <t>Nátěr se používá na neutralizaci solí ve zdivu. Deaktivuje a obaluje solné krystaly. Položka obsahuje nanesení hmoty v jedné vrstvě. Bez nákladů na lešení a očištění podkladu</t>
  </si>
  <si>
    <t>1*(9,05-0,8-0,8+(4*0,65)+9,05-0,8-0,8+2*0,65+2*(1,7-0,8)+5,85+1+1)   vnitřní omítky</t>
  </si>
  <si>
    <t>622904121R00</t>
  </si>
  <si>
    <t>Ruční čištění ocelovým kartáčem</t>
  </si>
  <si>
    <t>V položce jsou zakalkulovány i náklady na dodání všech hmot.</t>
  </si>
  <si>
    <t>28,45   sanační omítky</t>
  </si>
  <si>
    <t>711</t>
  </si>
  <si>
    <t>Izolace proti vodě</t>
  </si>
  <si>
    <t>711212002RW4</t>
  </si>
  <si>
    <t>Stěrka hydroizolační, vč. dodávky HI hmoty</t>
  </si>
  <si>
    <t>Köster NB 4000, dvousložková, flexibilní, 2x, proti půdní vlhkosti a netlakové vodě</t>
  </si>
  <si>
    <t>Aplikace ve dvou vrstvách. Prašné a solí poškozené podklady je nutné opatřit penetrací Köster Polysil TG 500. Položka neobsahuje přípravu podkladu</t>
  </si>
  <si>
    <t>97</t>
  </si>
  <si>
    <t>Prorážení otvorů a ostatní bourací práce</t>
  </si>
  <si>
    <t>978013191R00</t>
  </si>
  <si>
    <t>Otlučení omítek vnitřních stěn v rozsahu do 100 %</t>
  </si>
  <si>
    <t>S vyškrabáním spár, s očištěním zdiva. V položce není kalkulována manipulace se sutí, která se oceňuje samostatně položkami souboru 979.</t>
  </si>
  <si>
    <t>Celkem:</t>
  </si>
  <si>
    <t>Objekt</t>
  </si>
  <si>
    <t>Poznámka:</t>
  </si>
  <si>
    <t>Krycí list rozpočtu</t>
  </si>
  <si>
    <t>IČO/DIČ:</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</si>
  <si>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</si>
  <si>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</si>
  <si>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</si>
  <si>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</si>
  <si>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</si>
  <si>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</si>
  <si>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</si>
  <si>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</si>
  <si>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</si>
  <si>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</si>
  <si>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</si>
  <si>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</si>
  <si>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</si>
  <si>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Montáž</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</si>
  <si>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</si>
  <si>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</si>
  <si>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</si>
  <si>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</si>
  <si>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</si>
  <si>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</si>
  <si>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</si>
  <si>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</si>
  <si>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</si>
  <si>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</si>
  <si>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</si>
  <si>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</si>
  <si>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</si>
  <si>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</si>
  <si>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</si>
  <si>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</si>
  <si>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</si>
  <si>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</si>
  <si>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</si>
  <si>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</si>
  <si>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</si>
  <si>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</si>
  <si>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</si>
  <si>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</si>
  <si>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</si>
  <si>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</si>
  <si>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</si>
  <si>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</si>
  <si>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</si>
  <si>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</si>
  <si>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</si>
  <si>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</si>
  <si>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</si>
  <si>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t>
  </si>
  <si>
    <t>Základna</t>
  </si>
  <si>
    <t>Celkem DN</t>
  </si>
  <si>
    <t>Celkem NUS</t>
  </si>
  <si>
    <t>Celkem VRN</t>
  </si>
  <si>
    <t>Ostatní rozpočtové náklady ORN</t>
  </si>
  <si>
    <t>Ostatní rozpočtové náklady (ORN)</t>
  </si>
  <si>
    <t>Celkem ORN</t>
  </si>
  <si>
    <t>Fojtství v Kopřivnici</t>
  </si>
  <si>
    <t> </t>
  </si>
  <si>
    <t>19.07.2024</t>
  </si>
  <si>
    <t>Cena/MJ</t>
  </si>
  <si>
    <t>Sazba DPH</t>
  </si>
  <si>
    <t>Náklady (Kč)</t>
  </si>
  <si>
    <t>Hmotnost (t)</t>
  </si>
  <si>
    <t>Cenová</t>
  </si>
  <si>
    <t>VATTAX</t>
  </si>
  <si>
    <t>(Kč)</t>
  </si>
  <si>
    <t>Dodávka</t>
  </si>
  <si>
    <t>Celkem</t>
  </si>
  <si>
    <t>Celkem vč. DPH</t>
  </si>
  <si>
    <t>Jednot.</t>
  </si>
  <si>
    <t>soustava</t>
  </si>
  <si>
    <t>Přesuny</t>
  </si>
  <si>
    <t>Typ skupiny</t>
  </si>
  <si>
    <t>HSV mat</t>
  </si>
  <si>
    <t>HSV prac</t>
  </si>
  <si>
    <t>PSV mat</t>
  </si>
  <si>
    <t>PSV prac</t>
  </si>
  <si>
    <t>Mont mat</t>
  </si>
  <si>
    <t>Mont prac</t>
  </si>
  <si>
    <t>Ostatní mat.</t>
  </si>
  <si>
    <t>MAT</t>
  </si>
  <si>
    <t>WORK</t>
  </si>
  <si>
    <t>CELK</t>
  </si>
  <si>
    <t>1</t>
  </si>
  <si>
    <t>21</t>
  </si>
  <si>
    <t>28_</t>
  </si>
  <si>
    <t>2_</t>
  </si>
  <si>
    <t>_</t>
  </si>
  <si>
    <t>2</t>
  </si>
  <si>
    <t>3</t>
  </si>
  <si>
    <t>31_</t>
  </si>
  <si>
    <t>3_</t>
  </si>
  <si>
    <t>4</t>
  </si>
  <si>
    <t>5</t>
  </si>
  <si>
    <t>6</t>
  </si>
  <si>
    <t>60_</t>
  </si>
  <si>
    <t>6_</t>
  </si>
  <si>
    <t>7</t>
  </si>
  <si>
    <t>8</t>
  </si>
  <si>
    <t>9</t>
  </si>
  <si>
    <t>10</t>
  </si>
  <si>
    <t>62_</t>
  </si>
  <si>
    <t>11</t>
  </si>
  <si>
    <t>12</t>
  </si>
  <si>
    <t>711_</t>
  </si>
  <si>
    <t>71_</t>
  </si>
  <si>
    <t>13</t>
  </si>
  <si>
    <t>97_</t>
  </si>
  <si>
    <t>9_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</si>
</sst>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charset val="1"/>
    </font>
    <font>
      <sz val="18"/>
      <color rgb="FF000000"/>
      <name val="Arial"/>
      <family val="2"/>
      <charset val="238"/>
    </font>
    <font>
      <sz val="10"/>
      <color rgb="FF000000"/>
      <name val="Arial"/>
      <family val="2"/>
      <charset val="238"/>
    </font>
    <font>
      <b/>
      <sz val="10"/>
      <color rgb="FF000000"/>
      <name val="Arial"/>
      <family val="2"/>
      <charset val="238"/>
    </font>
    <font>
      <i/>
      <sz val="8"/>
      <color rgb="FF000000"/>
      <name val="Arial"/>
      <family val="2"/>
      <charset val="238"/>
    </font>
    <font>
      <b/>
      <sz val="18"/>
      <color rgb="FF000000"/>
      <name val="Arial"/>
      <family val="2"/>
      <charset val="238"/>
    </font>
    <font>
      <b/>
      <sz val="20"/>
      <color rgb="FF000000"/>
      <name val="Arial"/>
      <family val="2"/>
      <charset val="238"/>
    </font>
    <font>
      <b/>
      <sz val="11"/>
      <color rgb="FF000000"/>
      <name val="Arial"/>
      <family val="2"/>
      <charset val="238"/>
    </font>
    <font>
      <b/>
      <sz val="12"/>
      <color rgb="FF000000"/>
      <name val="Arial"/>
      <family val="2"/>
      <charset val="238"/>
    </font>
    <font>
      <sz val="12"/>
      <color rgb="FF000000"/>
      <name val="Arial"/>
      <family val="2"/>
      <charset val="238"/>
    </font>
  </fonts>
  <fills count="5">
    <fill>
      <patternFill patternType="none"/>
    </fill>
    <fill>
      <patternFill patternType="gray125"/>
    </fill>
    <fill>
      <patternFill patternType="solid">
        <fgColor rgb="FF000000"/>
        <bgColor rgb="FF000000"/>
      </patternFill>
    </fill>
    <fill>
      <patternFill patternType="solid">
        <fgColor rgb="FFC0C0C0"/>
        <bgColor rgb="FFC0C0C0"/>
      </patternFill>
    </fill>
    <fill>
      <patternFill patternType="solid">
        <fgColor rgb="FFFFFF00"/>
        <bgColor indexed="64"/>
      </patternFill>
    </fill>
  </fills>
  <borders count="8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style="medium">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bottom style="medium">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right/>
      <top/>
      <bottom/>
      <diagonal/>
    </border>
  </borders>
  <cellStyleXfs count="1">
    <xf numFmtId="0" fontId="0" fillId="0" borderId="0"/>
  </cellStyleXfs>
  <cellXfs count="183">
    <xf numFmtId="0" fontId="0" fillId="0" borderId="0" xfId="0"/>
    <xf numFmtId="0" fontId="2" fillId="0" borderId="5" xfId="0" applyFont="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0" fontId="2" fillId="0" borderId="6" xfId="0" applyFont="1" applyBorder="1" applyAlignment="1">
      <alignment horizontal="left" vertical="center"/>
    </xf>
    <xf numFmtId="0" fontId="2" fillId="0" borderId="0" xfId="0" applyFont="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 fillId="2" borderId="0" xfId="0" applyFont="1" applyFill="1" applyAlignment="1">
      <alignment horizontal="left" vertical="center"/>
    </xf>
    <xf numFmtId="0" fontId="3" fillId="3" borderId="12" xfId="0" applyFont="1" applyFill="1" applyBorder="1" applyAlignment="1">
      <alignment horizontal="left" vertical="center"/>
    </xf>
    <xf numFmtId="0" fontId="3" fillId="3" borderId="13" xfId="0" applyFont="1" applyFill="1" applyBorder="1" applyAlignment="1">
      <alignment horizontal="left" vertical="center"/>
    </xf>
    <xf numFmtId="0" fontId="3" fillId="3" borderId="13" xfId="0" applyFont="1" applyFill="1" applyBorder="1" applyAlignment="1">
      <alignment horizontal="left" vertical="center" wrapText="1"/>
    </xf>
    <xf numFmtId="0" fontId="3" fillId="3" borderId="13" xfId="0" applyFont="1" applyFill="1" applyBorder="1" applyAlignment="1">
      <alignment horizontal="right" vertical="center"/>
    </xf>
    <xf numFmtId="4" fontId="3" fillId="3" borderId="13" xfId="0" applyNumberFormat="1" applyFont="1" applyFill="1" applyBorder="1" applyAlignment="1">
      <alignment horizontal="right" vertical="center"/>
    </xf>
    <xf numFmtId="0" fontId="3" fillId="3" borderId="14" xfId="0" applyFont="1" applyFill="1" applyBorder="1" applyAlignment="1">
      <alignment horizontal="left" vertical="center"/>
    </xf>
    <xf numFmtId="1" fontId="2" fillId="0" borderId="5" xfId="0" applyNumberFormat="1" applyFont="1" applyBorder="1" applyAlignment="1">
      <alignment horizontal="left" vertical="center"/>
    </xf>
    <xf numFmtId="4" fontId="2" fillId="0" borderId="0" xfId="0" applyNumberFormat="1" applyFont="1" applyAlignment="1">
      <alignment horizontal="right" vertical="center"/>
    </xf>
    <xf numFmtId="4" fontId="2" fillId="0" borderId="0" xfId="0" applyNumberFormat="1" applyFont="1" applyAlignment="1">
      <alignment horizontal="left" vertical="center"/>
    </xf>
    <xf numFmtId="0" fontId="0" fillId="0" borderId="6" xfId="0" applyBorder="1"/>
    <xf numFmtId="0" fontId="3" fillId="3" borderId="5" xfId="0" applyFont="1" applyFill="1" applyBorder="1" applyAlignment="1">
      <alignment horizontal="left" vertical="center"/>
    </xf>
    <xf numFmtId="0" fontId="3" fillId="3" borderId="0" xfId="0" applyFont="1" applyFill="1" applyAlignment="1">
      <alignment horizontal="left" vertical="center"/>
    </xf>
    <xf numFmtId="0" fontId="3" fillId="3" borderId="0" xfId="0" applyFont="1" applyFill="1" applyAlignment="1">
      <alignment horizontal="left" vertical="center" wrapText="1"/>
    </xf>
    <xf numFmtId="0" fontId="3" fillId="3" borderId="0" xfId="0" applyFont="1" applyFill="1" applyAlignment="1">
      <alignment horizontal="right" vertical="center"/>
    </xf>
    <xf numFmtId="4" fontId="3" fillId="3" borderId="0" xfId="0" applyNumberFormat="1" applyFont="1" applyFill="1" applyAlignment="1">
      <alignment horizontal="right" vertical="center"/>
    </xf>
    <xf numFmtId="0" fontId="3" fillId="3" borderId="6" xfId="0" applyFont="1" applyFill="1" applyBorder="1" applyAlignment="1">
      <alignment horizontal="left" vertical="center"/>
    </xf>
    <xf numFmtId="1" fontId="2" fillId="0" borderId="7" xfId="0" applyNumberFormat="1" applyFont="1" applyBorder="1" applyAlignment="1">
      <alignment horizontal="left" vertical="center"/>
    </xf>
    <xf numFmtId="0" fontId="2" fillId="0" borderId="8" xfId="0" applyFont="1" applyBorder="1" applyAlignment="1">
      <alignment horizontal="left" vertical="center" wrapText="1"/>
    </xf>
    <xf numFmtId="4" fontId="2" fillId="0" borderId="8" xfId="0" applyNumberFormat="1" applyFont="1" applyBorder="1" applyAlignment="1">
      <alignment horizontal="right" vertical="center"/>
    </xf>
    <xf numFmtId="4" fontId="3" fillId="0" borderId="0" xfId="0" applyNumberFormat="1" applyFont="1" applyAlignment="1">
      <alignment horizontal="right" vertical="center"/>
    </xf>
    <xf numFmtId="0" fontId="4" fillId="0" borderId="0" xfId="0" applyFont="1" applyAlignment="1">
      <alignment horizontal="left" vertical="center"/>
    </xf>
    <xf numFmtId="0" fontId="6" fillId="3" borderId="19" xfId="0" applyFont="1" applyFill="1" applyBorder="1" applyAlignment="1">
      <alignment horizontal="center" vertical="center"/>
    </xf>
    <xf numFmtId="0" fontId="6" fillId="3" borderId="22" xfId="0" applyFont="1" applyFill="1" applyBorder="1" applyAlignment="1">
      <alignment horizontal="center" vertical="center"/>
    </xf>
    <xf numFmtId="0" fontId="8" fillId="0" borderId="23" xfId="0" applyFont="1" applyBorder="1" applyAlignment="1">
      <alignment horizontal="left" vertical="center"/>
    </xf>
    <xf numFmtId="0" fontId="9" fillId="0" borderId="24" xfId="0" applyFont="1" applyBorder="1" applyAlignment="1">
      <alignment horizontal="left" vertical="center"/>
    </xf>
    <xf numFmtId="4" fontId="9" fillId="0" borderId="24" xfId="0" applyNumberFormat="1" applyFont="1" applyBorder="1" applyAlignment="1">
      <alignment horizontal="right" vertical="center"/>
    </xf>
    <xf numFmtId="0" fontId="8" fillId="0" borderId="27" xfId="0" applyFont="1" applyBorder="1" applyAlignment="1">
      <alignment horizontal="left" vertical="center"/>
    </xf>
    <xf numFmtId="0" fontId="9" fillId="0" borderId="24" xfId="0" applyFont="1" applyBorder="1" applyAlignment="1">
      <alignment horizontal="right" vertical="center"/>
    </xf>
    <xf numFmtId="4" fontId="9" fillId="0" borderId="31" xfId="0" applyNumberFormat="1" applyFont="1" applyBorder="1" applyAlignment="1">
      <alignment horizontal="right" vertical="center"/>
    </xf>
    <xf numFmtId="0" fontId="9" fillId="0" borderId="31" xfId="0" applyFont="1" applyBorder="1" applyAlignment="1">
      <alignment horizontal="right" vertical="center"/>
    </xf>
    <xf numFmtId="4" fontId="9" fillId="0" borderId="22" xfId="0" applyNumberFormat="1" applyFont="1" applyBorder="1" applyAlignment="1">
      <alignment horizontal="right" vertical="center"/>
    </xf>
    <xf numFmtId="4" fontId="9" fillId="0" borderId="34" xfId="0" applyNumberFormat="1" applyFont="1" applyBorder="1" applyAlignment="1">
      <alignment horizontal="right" vertical="center"/>
    </xf>
    <xf numFmtId="4" fontId="8" fillId="3" borderId="21" xfId="0" applyNumberFormat="1" applyFont="1" applyFill="1" applyBorder="1" applyAlignment="1">
      <alignment horizontal="right" vertical="center"/>
    </xf>
    <xf numFmtId="4" fontId="8" fillId="3" borderId="26" xfId="0" applyNumberFormat="1" applyFont="1" applyFill="1" applyBorder="1" applyAlignment="1">
      <alignment horizontal="right" vertical="center"/>
    </xf>
    <xf numFmtId="0" fontId="4" fillId="0" borderId="13" xfId="0" applyFont="1" applyBorder="1" applyAlignment="1">
      <alignment horizontal="left" vertical="center"/>
    </xf>
    <xf numFmtId="0" fontId="3" fillId="0" borderId="51" xfId="0" applyFont="1" applyBorder="1" applyAlignment="1">
      <alignment horizontal="right" vertical="center"/>
    </xf>
    <xf numFmtId="4" fontId="2" fillId="0" borderId="24" xfId="0" applyNumberFormat="1" applyFont="1" applyBorder="1" applyAlignment="1">
      <alignment horizontal="right" vertical="center"/>
    </xf>
    <xf numFmtId="0" fontId="2" fillId="0" borderId="24" xfId="0" applyFont="1" applyBorder="1" applyAlignment="1">
      <alignment horizontal="left" vertical="center"/>
    </xf>
    <xf numFmtId="4" fontId="2" fillId="0" borderId="55" xfId="0" applyNumberFormat="1" applyFont="1" applyBorder="1" applyAlignment="1">
      <alignment horizontal="right" vertical="center"/>
    </xf>
    <xf numFmtId="0" fontId="2" fillId="0" borderId="55" xfId="0" applyFont="1" applyBorder="1" applyAlignment="1">
      <alignment horizontal="left" vertical="center"/>
    </xf>
    <xf numFmtId="0" fontId="3" fillId="0" borderId="59" xfId="0" applyFont="1" applyBorder="1" applyAlignment="1">
      <alignment horizontal="left" vertical="center"/>
    </xf>
    <xf numFmtId="0" fontId="3" fillId="0" borderId="59" xfId="0" applyFont="1" applyBorder="1" applyAlignment="1">
      <alignment horizontal="right" vertical="center"/>
    </xf>
    <xf numFmtId="4" fontId="3" fillId="0" borderId="59" xfId="0" applyNumberFormat="1" applyFont="1" applyBorder="1" applyAlignment="1">
      <alignment horizontal="right" vertical="center"/>
    </xf>
    <xf numFmtId="0" fontId="3" fillId="0" borderId="61" xfId="0" applyFont="1" applyBorder="1" applyAlignment="1">
      <alignment horizontal="left" vertical="center"/>
    </xf>
    <xf numFmtId="0" fontId="3" fillId="0" borderId="62" xfId="0" applyFont="1" applyBorder="1" applyAlignment="1">
      <alignment horizontal="left" vertical="center"/>
    </xf>
    <xf numFmtId="0" fontId="3" fillId="0" borderId="62"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3" fillId="0" borderId="51" xfId="0" applyFont="1" applyBorder="1" applyAlignment="1">
      <alignment horizontal="center" vertical="center"/>
    </xf>
    <xf numFmtId="0" fontId="3" fillId="0" borderId="69" xfId="0" applyFont="1" applyBorder="1" applyAlignment="1">
      <alignment horizontal="center" vertical="center"/>
    </xf>
    <xf numFmtId="0" fontId="3" fillId="0" borderId="0" xfId="0" applyFont="1" applyAlignment="1">
      <alignment horizontal="right" vertical="center"/>
    </xf>
    <xf numFmtId="0" fontId="2" fillId="0" borderId="70" xfId="0" applyFont="1" applyBorder="1" applyAlignment="1">
      <alignment horizontal="left" vertical="center"/>
    </xf>
    <xf numFmtId="0" fontId="2" fillId="0" borderId="71" xfId="0" applyFont="1" applyBorder="1" applyAlignment="1">
      <alignment horizontal="left" vertical="center"/>
    </xf>
    <xf numFmtId="0" fontId="3" fillId="0" borderId="74" xfId="0" applyFont="1" applyBorder="1" applyAlignment="1">
      <alignment horizontal="center" vertical="center"/>
    </xf>
    <xf numFmtId="0" fontId="2" fillId="0" borderId="75" xfId="0" applyFont="1" applyBorder="1" applyAlignment="1">
      <alignment horizontal="left" vertical="center"/>
    </xf>
    <xf numFmtId="0" fontId="3" fillId="0" borderId="11" xfId="0" applyFont="1" applyBorder="1" applyAlignment="1">
      <alignment horizontal="center" vertical="center"/>
    </xf>
    <xf numFmtId="0" fontId="3" fillId="0" borderId="34"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3" fillId="0" borderId="79" xfId="0" applyFont="1" applyBorder="1" applyAlignment="1">
      <alignment horizontal="center" vertical="center"/>
    </xf>
    <xf numFmtId="0" fontId="3" fillId="0" borderId="80" xfId="0" applyFont="1" applyBorder="1" applyAlignment="1">
      <alignment horizontal="center" vertical="center"/>
    </xf>
    <xf numFmtId="0" fontId="2" fillId="3" borderId="12" xfId="0" applyFont="1" applyFill="1" applyBorder="1" applyAlignment="1">
      <alignment horizontal="left" vertical="center"/>
    </xf>
    <xf numFmtId="0" fontId="2" fillId="3" borderId="13" xfId="0" applyFont="1" applyFill="1" applyBorder="1" applyAlignment="1">
      <alignment horizontal="left" vertical="center"/>
    </xf>
    <xf numFmtId="0" fontId="3" fillId="3" borderId="14" xfId="0" applyFont="1" applyFill="1" applyBorder="1" applyAlignment="1">
      <alignment horizontal="right" vertical="center"/>
    </xf>
    <xf numFmtId="0" fontId="2" fillId="0" borderId="0" xfId="0" applyFont="1" applyAlignment="1">
      <alignment horizontal="right" vertical="center"/>
    </xf>
    <xf numFmtId="0" fontId="2" fillId="0" borderId="6" xfId="0" applyFont="1" applyBorder="1" applyAlignment="1">
      <alignment horizontal="right" vertical="center"/>
    </xf>
    <xf numFmtId="0" fontId="2" fillId="3" borderId="5" xfId="0" applyFont="1" applyFill="1" applyBorder="1" applyAlignment="1">
      <alignment horizontal="left" vertical="center"/>
    </xf>
    <xf numFmtId="0" fontId="2" fillId="3" borderId="0" xfId="0" applyFont="1" applyFill="1" applyAlignment="1">
      <alignment horizontal="left" vertical="center"/>
    </xf>
    <xf numFmtId="0" fontId="3" fillId="3" borderId="6" xfId="0" applyFont="1" applyFill="1" applyBorder="1" applyAlignment="1">
      <alignment horizontal="right" vertical="center"/>
    </xf>
    <xf numFmtId="0" fontId="2" fillId="0" borderId="8" xfId="0" applyFont="1" applyBorder="1" applyAlignment="1">
      <alignment horizontal="right" vertical="center"/>
    </xf>
    <xf numFmtId="0" fontId="2" fillId="0" borderId="9" xfId="0" applyFont="1" applyBorder="1" applyAlignment="1">
      <alignment horizontal="right" vertical="center"/>
    </xf>
    <xf numFmtId="4" fontId="3" fillId="0" borderId="81" xfId="0" applyNumberFormat="1" applyFont="1" applyBorder="1" applyAlignment="1">
      <alignment horizontal="right" vertical="center"/>
    </xf>
    <xf numFmtId="4" fontId="2" fillId="4" borderId="0" xfId="0" applyNumberFormat="1" applyFont="1" applyFill="1" applyAlignment="1">
      <alignment horizontal="right" vertical="center"/>
    </xf>
    <xf numFmtId="4" fontId="2" fillId="4" borderId="8" xfId="0" applyNumberFormat="1" applyFont="1" applyFill="1" applyBorder="1" applyAlignment="1">
      <alignment horizontal="right" vertical="center"/>
    </xf>
    <xf numFmtId="0" fontId="1" fillId="0" borderId="1"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3" fillId="0" borderId="3"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left" vertical="center"/>
    </xf>
    <xf numFmtId="0" fontId="1" fillId="0" borderId="1" xfId="0" applyFont="1" applyBorder="1" applyAlignment="1">
      <alignment horizontal="center" vertical="center" wrapText="1"/>
    </xf>
    <xf numFmtId="1" fontId="2" fillId="0" borderId="6" xfId="0" applyNumberFormat="1" applyFont="1" applyBorder="1" applyAlignment="1">
      <alignment horizontal="left" vertical="center"/>
    </xf>
    <xf numFmtId="0" fontId="3" fillId="0" borderId="3" xfId="0" applyFont="1" applyBorder="1" applyAlignment="1">
      <alignment horizontal="left" vertical="center"/>
    </xf>
    <xf numFmtId="0" fontId="2" fillId="0" borderId="6" xfId="0" applyFont="1" applyBorder="1" applyAlignment="1">
      <alignment horizontal="left" vertical="center" wrapText="1"/>
    </xf>
    <xf numFmtId="0" fontId="5" fillId="0" borderId="18" xfId="0" applyFont="1" applyBorder="1" applyAlignment="1">
      <alignment horizontal="center" vertical="center"/>
    </xf>
    <xf numFmtId="0" fontId="7" fillId="0" borderId="20" xfId="0" applyFont="1" applyBorder="1" applyAlignment="1">
      <alignment horizontal="left" vertical="center"/>
    </xf>
    <xf numFmtId="0" fontId="7" fillId="0" borderId="21" xfId="0" applyFont="1" applyBorder="1" applyAlignment="1">
      <alignment horizontal="left" vertical="center"/>
    </xf>
    <xf numFmtId="0" fontId="8" fillId="0" borderId="28" xfId="0" applyFont="1" applyBorder="1" applyAlignment="1">
      <alignment horizontal="left" vertical="center"/>
    </xf>
    <xf numFmtId="0" fontId="8" fillId="0" borderId="26" xfId="0" applyFont="1" applyBorder="1" applyAlignment="1">
      <alignment horizontal="left" vertical="center"/>
    </xf>
    <xf numFmtId="0" fontId="8" fillId="0" borderId="29" xfId="0" applyFont="1" applyBorder="1" applyAlignment="1">
      <alignment horizontal="left" vertical="center"/>
    </xf>
    <xf numFmtId="0" fontId="8" fillId="0" borderId="30" xfId="0" applyFont="1" applyBorder="1" applyAlignment="1">
      <alignment horizontal="left" vertical="center"/>
    </xf>
    <xf numFmtId="0" fontId="8" fillId="0" borderId="33" xfId="0" applyFont="1" applyBorder="1" applyAlignment="1">
      <alignment horizontal="left" vertical="center"/>
    </xf>
    <xf numFmtId="0" fontId="8" fillId="0" borderId="21" xfId="0" applyFont="1" applyBorder="1" applyAlignment="1">
      <alignment horizontal="left" vertical="center"/>
    </xf>
    <xf numFmtId="0" fontId="9" fillId="0" borderId="25" xfId="0" applyFont="1" applyBorder="1" applyAlignment="1">
      <alignment horizontal="left" vertical="center"/>
    </xf>
    <xf numFmtId="0" fontId="9" fillId="0" borderId="26" xfId="0" applyFont="1" applyBorder="1" applyAlignment="1">
      <alignment horizontal="left" vertical="center"/>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8" fillId="0" borderId="20" xfId="0" applyFont="1" applyBorder="1" applyAlignment="1">
      <alignment horizontal="left" vertical="center"/>
    </xf>
    <xf numFmtId="0" fontId="8" fillId="0" borderId="25" xfId="0" applyFont="1" applyBorder="1" applyAlignment="1">
      <alignment horizontal="left" vertical="center"/>
    </xf>
    <xf numFmtId="0" fontId="8" fillId="3" borderId="33" xfId="0" applyFont="1" applyFill="1" applyBorder="1" applyAlignment="1">
      <alignment horizontal="left" vertical="center"/>
    </xf>
    <xf numFmtId="0" fontId="8" fillId="3" borderId="35" xfId="0" applyFont="1" applyFill="1" applyBorder="1" applyAlignment="1">
      <alignment horizontal="left" vertical="center"/>
    </xf>
    <xf numFmtId="0" fontId="8" fillId="3" borderId="28" xfId="0" applyFont="1" applyFill="1" applyBorder="1" applyAlignment="1">
      <alignment horizontal="left" vertical="center"/>
    </xf>
    <xf numFmtId="0" fontId="8" fillId="3" borderId="36" xfId="0" applyFont="1" applyFill="1" applyBorder="1" applyAlignment="1">
      <alignment horizontal="left" vertical="center"/>
    </xf>
    <xf numFmtId="0" fontId="8" fillId="3" borderId="20" xfId="0" applyFont="1" applyFill="1" applyBorder="1" applyAlignment="1">
      <alignment horizontal="left" vertical="center"/>
    </xf>
    <xf numFmtId="0" fontId="8" fillId="3" borderId="25" xfId="0" applyFont="1" applyFill="1" applyBorder="1" applyAlignment="1">
      <alignment horizontal="left" vertical="center"/>
    </xf>
    <xf numFmtId="0" fontId="9" fillId="0" borderId="40" xfId="0" applyFont="1" applyBorder="1" applyAlignment="1">
      <alignment horizontal="left" vertical="center"/>
    </xf>
    <xf numFmtId="0" fontId="9" fillId="0" borderId="38" xfId="0" applyFont="1" applyBorder="1" applyAlignment="1">
      <alignment horizontal="left" vertical="center"/>
    </xf>
    <xf numFmtId="0" fontId="9" fillId="0" borderId="39" xfId="0" applyFont="1" applyBorder="1" applyAlignment="1">
      <alignment horizontal="left" vertical="center"/>
    </xf>
    <xf numFmtId="0" fontId="9" fillId="0" borderId="43" xfId="0" applyFont="1" applyBorder="1" applyAlignment="1">
      <alignment horizontal="left" vertical="center"/>
    </xf>
    <xf numFmtId="0" fontId="9" fillId="0" borderId="0" xfId="0" applyFont="1" applyAlignment="1">
      <alignment horizontal="left" vertical="center"/>
    </xf>
    <xf numFmtId="0" fontId="9" fillId="0" borderId="42" xfId="0" applyFont="1" applyBorder="1" applyAlignment="1">
      <alignment horizontal="left" vertical="center"/>
    </xf>
    <xf numFmtId="0" fontId="9" fillId="0" borderId="47" xfId="0" applyFont="1" applyBorder="1" applyAlignment="1">
      <alignment horizontal="left" vertical="center"/>
    </xf>
    <xf numFmtId="0" fontId="9" fillId="0" borderId="45" xfId="0" applyFont="1" applyBorder="1" applyAlignment="1">
      <alignment horizontal="left" vertical="center"/>
    </xf>
    <xf numFmtId="0" fontId="9" fillId="0" borderId="46" xfId="0" applyFont="1" applyBorder="1" applyAlignment="1">
      <alignment horizontal="left" vertical="center"/>
    </xf>
    <xf numFmtId="0" fontId="9" fillId="0" borderId="37" xfId="0" applyFont="1" applyBorder="1" applyAlignment="1">
      <alignment horizontal="left" vertical="center"/>
    </xf>
    <xf numFmtId="0" fontId="9" fillId="0" borderId="41" xfId="0" applyFont="1" applyBorder="1" applyAlignment="1">
      <alignment horizontal="left" vertical="center"/>
    </xf>
    <xf numFmtId="0" fontId="9" fillId="0" borderId="44" xfId="0" applyFont="1" applyBorder="1" applyAlignment="1">
      <alignment horizontal="left" vertical="center"/>
    </xf>
    <xf numFmtId="0" fontId="8" fillId="0" borderId="16" xfId="0" applyFont="1" applyBorder="1" applyAlignment="1">
      <alignment horizontal="left" vertical="center"/>
    </xf>
    <xf numFmtId="0" fontId="3" fillId="0" borderId="48" xfId="0" applyFont="1" applyBorder="1" applyAlignment="1">
      <alignment horizontal="left" vertical="center"/>
    </xf>
    <xf numFmtId="0" fontId="3" fillId="0" borderId="49" xfId="0" applyFont="1" applyBorder="1" applyAlignment="1">
      <alignment horizontal="left" vertical="center"/>
    </xf>
    <xf numFmtId="0" fontId="3" fillId="0" borderId="50" xfId="0" applyFont="1" applyBorder="1" applyAlignment="1">
      <alignment horizontal="left" vertical="center"/>
    </xf>
    <xf numFmtId="0" fontId="2" fillId="0" borderId="28" xfId="0" applyFont="1" applyBorder="1" applyAlignment="1">
      <alignment horizontal="left" vertical="center"/>
    </xf>
    <xf numFmtId="0" fontId="2" fillId="0" borderId="36" xfId="0" applyFont="1" applyBorder="1" applyAlignment="1">
      <alignment horizontal="left" vertical="center"/>
    </xf>
    <xf numFmtId="0" fontId="2" fillId="0" borderId="26" xfId="0" applyFont="1" applyBorder="1" applyAlignment="1">
      <alignment horizontal="left" vertical="center"/>
    </xf>
    <xf numFmtId="0" fontId="2" fillId="0" borderId="52" xfId="0" applyFont="1" applyBorder="1" applyAlignment="1">
      <alignment horizontal="left" vertical="center"/>
    </xf>
    <xf numFmtId="0" fontId="2" fillId="0" borderId="53" xfId="0" applyFont="1" applyBorder="1" applyAlignment="1">
      <alignment horizontal="left" vertical="center"/>
    </xf>
    <xf numFmtId="0" fontId="2" fillId="0" borderId="54" xfId="0" applyFont="1" applyBorder="1" applyAlignment="1">
      <alignment horizontal="left" vertical="center"/>
    </xf>
    <xf numFmtId="0" fontId="3" fillId="0" borderId="56" xfId="0" applyFont="1" applyBorder="1" applyAlignment="1">
      <alignment horizontal="left" vertical="center"/>
    </xf>
    <xf numFmtId="0" fontId="3" fillId="0" borderId="57" xfId="0" applyFont="1" applyBorder="1" applyAlignment="1">
      <alignment horizontal="left" vertical="center"/>
    </xf>
    <xf numFmtId="0" fontId="3" fillId="0" borderId="58" xfId="0" applyFont="1" applyBorder="1" applyAlignment="1">
      <alignment horizontal="left" vertical="center"/>
    </xf>
    <xf numFmtId="0" fontId="8" fillId="0" borderId="56" xfId="0" applyFont="1" applyBorder="1" applyAlignment="1">
      <alignment horizontal="left" vertical="center"/>
    </xf>
    <xf numFmtId="0" fontId="8" fillId="0" borderId="57" xfId="0" applyFont="1" applyBorder="1" applyAlignment="1">
      <alignment horizontal="left" vertical="center"/>
    </xf>
    <xf numFmtId="0" fontId="8" fillId="0" borderId="58" xfId="0" applyFont="1" applyBorder="1" applyAlignment="1">
      <alignment horizontal="left" vertical="center"/>
    </xf>
    <xf numFmtId="4" fontId="8" fillId="0" borderId="60" xfId="0" applyNumberFormat="1" applyFont="1" applyBorder="1" applyAlignment="1">
      <alignment horizontal="right" vertical="center"/>
    </xf>
    <xf numFmtId="0" fontId="8" fillId="0" borderId="57" xfId="0" applyFont="1" applyBorder="1" applyAlignment="1">
      <alignment horizontal="right" vertical="center"/>
    </xf>
    <xf numFmtId="0" fontId="8" fillId="0" borderId="58" xfId="0" applyFont="1" applyBorder="1" applyAlignment="1">
      <alignment horizontal="righ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3" fillId="0" borderId="63" xfId="0" applyFont="1" applyBorder="1" applyAlignment="1">
      <alignment horizontal="left" vertical="center"/>
    </xf>
    <xf numFmtId="0" fontId="3" fillId="0" borderId="64" xfId="0" applyFont="1" applyBorder="1" applyAlignment="1">
      <alignment horizontal="left" vertical="center"/>
    </xf>
    <xf numFmtId="0" fontId="3" fillId="0" borderId="72" xfId="0" applyFont="1" applyBorder="1" applyAlignment="1">
      <alignment horizontal="left" vertical="center"/>
    </xf>
    <xf numFmtId="0" fontId="3" fillId="0" borderId="73" xfId="0" applyFont="1" applyBorder="1" applyAlignment="1">
      <alignment horizontal="left"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3" borderId="13" xfId="0" applyFont="1" applyFill="1" applyBorder="1" applyAlignment="1">
      <alignment horizontal="left" vertical="center" wrapText="1"/>
    </xf>
    <xf numFmtId="0" fontId="3" fillId="3" borderId="13" xfId="0" applyFont="1" applyFill="1" applyBorder="1" applyAlignment="1">
      <alignment horizontal="left" vertical="center"/>
    </xf>
    <xf numFmtId="0" fontId="3" fillId="3" borderId="0" xfId="0" applyFont="1" applyFill="1" applyAlignment="1">
      <alignment horizontal="left" vertical="center" wrapText="1"/>
    </xf>
    <xf numFmtId="0" fontId="3" fillId="3" borderId="0" xfId="0" applyFont="1" applyFill="1" applyAlignment="1">
      <alignment horizontal="left" vertical="center"/>
    </xf>
    <xf numFmtId="0" fontId="2" fillId="0" borderId="8" xfId="0" applyFont="1" applyBorder="1" applyAlignment="1">
      <alignment horizontal="left" vertical="center" wrapText="1"/>
    </xf>
    <xf numFmtId="0" fontId="3" fillId="0" borderId="81" xfId="0" applyFont="1" applyBorder="1" applyAlignment="1">
      <alignment horizontal="left" vertical="center"/>
    </xf>
    <xf numFmtId="0" fontId="2" fillId="0" borderId="5"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horizontal="left" vertical="center"/>
    </xf>
    <xf numFmtId="4" fontId="2" fillId="0" borderId="0" xfId="0" applyNumberFormat="1" applyFont="1" applyFill="1" applyAlignment="1">
      <alignment horizontal="right" vertical="center"/>
    </xf>
    <xf numFmtId="0" fontId="0" fillId="0" borderId="0" xfId="0" applyFill="1"/>
    <xf numFmtId="0" fontId="0" fillId="0" borderId="6" xfId="0" applyFill="1" applyBorder="1"/>
    <xf numFmtId="4" fontId="2" fillId="0" borderId="0" xfId="0" applyNumberFormat="1" applyFont="1" applyFill="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43"/>
  <sheetViews>
    <sheetView tabSelected="1" zoomScale="70" zoomScaleNormal="70" workbookViewId="0">
      <pane ySplit="10" topLeftCell="A11" activePane="bottomLeft" state="frozen"/>
      <selection pane="bottomLeft" activeCell="H26" sqref="H26"/>
    </sheetView>
  </sheetViews>
  <sheetFormatPr defaultColWidth="12.140625" defaultRowHeight="15" customHeight="1" x14ac:dyDescent="0.25"/>
  <cols>
    <col min="1" max="1" width="4.28515625" customWidth="1"/>
    <col min="2" max="2" width="17.140625" customWidth="1"/>
    <col min="3" max="3" width="71.42578125" customWidth="1"/>
    <col min="4" max="4" width="35.7109375" customWidth="1"/>
    <col min="5" max="5" width="15.7109375" customWidth="1"/>
    <col min="6" max="6" width="71.5703125" customWidth="1"/>
    <col min="7" max="7" width="12.85546875" customWidth="1"/>
    <col min="8" max="9" width="22.85546875" customWidth="1"/>
    <col min="10" max="10" width="71.42578125" customWidth="1"/>
    <col min="11" max="11" width="18.5703125" customWidth="1"/>
    <col min="230" max="231" width="12.140625" hidden="1"/>
    <col min="251" max="254" width="12.140625" hidden="1"/>
  </cols>
  <sheetData>
    <row r="1" spans="1:253" ht="54.75" customHeight="1" x14ac:dyDescent="0.25">
      <c r="A1" s="87" t="s">
        <v>0</v>
      </c>
      <c r="B1" s="87"/>
      <c r="C1" s="87"/>
      <c r="D1" s="87"/>
      <c r="E1" s="87"/>
      <c r="F1" s="87"/>
      <c r="G1" s="87"/>
      <c r="H1" s="87"/>
      <c r="I1" s="87"/>
      <c r="J1" s="87"/>
      <c r="K1" s="87"/>
    </row>
    <row r="2" spans="1:253" x14ac:dyDescent="0.25">
      <c r="A2" s="88" t="s">
        <v>1</v>
      </c>
      <c r="B2" s="89"/>
      <c r="C2" s="95" t="str">
        <f>'Stavební rozpočet'!D2</f>
        <v>Fojtství v Kopřivnici</v>
      </c>
      <c r="D2" s="89" t="s">
        <v>2</v>
      </c>
      <c r="E2" s="98" t="str">
        <f>'Stavební rozpočet'!H2</f>
        <v xml:space="preserve"> </v>
      </c>
      <c r="F2" s="98" t="s">
        <v>3</v>
      </c>
      <c r="G2" s="98" t="str">
        <f>'Stavební rozpočet'!K2</f>
        <v> </v>
      </c>
      <c r="H2" s="89"/>
      <c r="I2" s="89"/>
      <c r="J2" s="89"/>
      <c r="K2" s="99"/>
    </row>
    <row r="3" spans="1:253" ht="15" customHeight="1" x14ac:dyDescent="0.25">
      <c r="A3" s="90"/>
      <c r="B3" s="91"/>
      <c r="C3" s="96"/>
      <c r="D3" s="91"/>
      <c r="E3" s="91"/>
      <c r="F3" s="91"/>
      <c r="G3" s="91"/>
      <c r="H3" s="91"/>
      <c r="I3" s="91"/>
      <c r="J3" s="91"/>
      <c r="K3" s="100"/>
    </row>
    <row r="4" spans="1:253" x14ac:dyDescent="0.25">
      <c r="A4" s="92" t="s">
        <v>4</v>
      </c>
      <c r="B4" s="91"/>
      <c r="C4" s="97" t="str">
        <f>'Stavební rozpočet'!D4</f>
        <v xml:space="preserve"> </v>
      </c>
      <c r="D4" s="91" t="s">
        <v>5</v>
      </c>
      <c r="E4" s="97" t="str">
        <f>'Stavební rozpočet'!H4</f>
        <v>19.07.2024</v>
      </c>
      <c r="F4" s="97" t="s">
        <v>6</v>
      </c>
      <c r="G4" s="97" t="str">
        <f>'Stavební rozpočet'!K4</f>
        <v> </v>
      </c>
      <c r="H4" s="91"/>
      <c r="I4" s="91"/>
      <c r="J4" s="91"/>
      <c r="K4" s="100"/>
    </row>
    <row r="5" spans="1:253" ht="15" customHeight="1" x14ac:dyDescent="0.25">
      <c r="A5" s="90"/>
      <c r="B5" s="91"/>
      <c r="C5" s="91"/>
      <c r="D5" s="91"/>
      <c r="E5" s="91"/>
      <c r="F5" s="91"/>
      <c r="G5" s="91"/>
      <c r="H5" s="91"/>
      <c r="I5" s="91"/>
      <c r="J5" s="91"/>
      <c r="K5" s="100"/>
    </row>
    <row r="6" spans="1:253" x14ac:dyDescent="0.25">
      <c r="A6" s="92" t="s">
        <v>7</v>
      </c>
      <c r="B6" s="91"/>
      <c r="C6" s="97" t="str">
        <f>'Stavební rozpočet'!D6</f>
        <v xml:space="preserve"> </v>
      </c>
      <c r="D6" s="91" t="s">
        <v>8</v>
      </c>
      <c r="E6" s="97" t="str">
        <f>'Stavební rozpočet'!H6</f>
        <v xml:space="preserve"> </v>
      </c>
      <c r="F6" s="97" t="s">
        <v>9</v>
      </c>
      <c r="G6" s="97" t="str">
        <f>'Stavební rozpočet'!K6</f>
        <v> </v>
      </c>
      <c r="H6" s="91"/>
      <c r="I6" s="91"/>
      <c r="J6" s="91"/>
      <c r="K6" s="100"/>
    </row>
    <row r="7" spans="1:253" ht="15" customHeight="1" x14ac:dyDescent="0.25">
      <c r="A7" s="90"/>
      <c r="B7" s="91"/>
      <c r="C7" s="91"/>
      <c r="D7" s="91"/>
      <c r="E7" s="91"/>
      <c r="F7" s="91"/>
      <c r="G7" s="91"/>
      <c r="H7" s="91"/>
      <c r="I7" s="91"/>
      <c r="J7" s="91"/>
      <c r="K7" s="100"/>
    </row>
    <row r="8" spans="1:253" x14ac:dyDescent="0.25">
      <c r="A8" s="92" t="s">
        <v>10</v>
      </c>
      <c r="B8" s="91"/>
      <c r="C8" s="97" t="str">
        <f>'Stavební rozpočet'!D8</f>
        <v xml:space="preserve"> </v>
      </c>
      <c r="D8" s="91" t="s">
        <v>11</v>
      </c>
      <c r="E8" s="97" t="str">
        <f>'Stavební rozpočet'!H8</f>
        <v>19.07.2024</v>
      </c>
      <c r="F8" s="97" t="s">
        <v>12</v>
      </c>
      <c r="G8" s="97" t="str">
        <f>'Stavební rozpočet'!K8</f>
        <v> </v>
      </c>
      <c r="H8" s="91"/>
      <c r="I8" s="91"/>
      <c r="J8" s="91"/>
      <c r="K8" s="100"/>
    </row>
    <row r="9" spans="1:253" x14ac:dyDescent="0.25">
      <c r="A9" s="93"/>
      <c r="B9" s="94"/>
      <c r="C9" s="94"/>
      <c r="D9" s="94"/>
      <c r="E9" s="94"/>
      <c r="F9" s="94"/>
      <c r="G9" s="94"/>
      <c r="H9" s="94"/>
      <c r="I9" s="94"/>
      <c r="J9" s="94"/>
      <c r="K9" s="101"/>
    </row>
    <row r="10" spans="1:253" x14ac:dyDescent="0.25">
      <c r="A10" s="9" t="s">
        <v>13</v>
      </c>
      <c r="B10" s="9" t="s">
        <v>14</v>
      </c>
      <c r="C10" s="9" t="s">
        <v>15</v>
      </c>
      <c r="D10" s="9" t="s">
        <v>16</v>
      </c>
      <c r="E10" s="9" t="s">
        <v>17</v>
      </c>
      <c r="F10" s="9" t="s">
        <v>18</v>
      </c>
      <c r="G10" s="9" t="s">
        <v>19</v>
      </c>
      <c r="H10" s="9" t="s">
        <v>20</v>
      </c>
      <c r="I10" s="9" t="s">
        <v>21</v>
      </c>
      <c r="J10" s="9" t="s">
        <v>22</v>
      </c>
      <c r="K10" s="10" t="s">
        <v>23</v>
      </c>
      <c r="HV10" s="11" t="s">
        <v>24</v>
      </c>
      <c r="HW10" s="11" t="s">
        <v>25</v>
      </c>
    </row>
    <row r="11" spans="1:253" x14ac:dyDescent="0.25">
      <c r="A11" s="12" t="s">
        <v>26</v>
      </c>
      <c r="B11" s="13" t="s">
        <v>27</v>
      </c>
      <c r="C11" s="14" t="s">
        <v>28</v>
      </c>
      <c r="D11" s="13" t="s">
        <v>26</v>
      </c>
      <c r="E11" s="13" t="s">
        <v>26</v>
      </c>
      <c r="F11" s="13" t="s">
        <v>26</v>
      </c>
      <c r="G11" s="15" t="s">
        <v>26</v>
      </c>
      <c r="H11" s="15" t="s">
        <v>26</v>
      </c>
      <c r="I11" s="16">
        <f>SUM(I12:I15)</f>
        <v>0</v>
      </c>
      <c r="J11" s="13" t="s">
        <v>26</v>
      </c>
      <c r="K11" s="17" t="s">
        <v>26</v>
      </c>
    </row>
    <row r="12" spans="1:253" ht="54" customHeight="1" x14ac:dyDescent="0.25">
      <c r="A12" s="18">
        <v>1</v>
      </c>
      <c r="B12" s="2" t="s">
        <v>29</v>
      </c>
      <c r="C12" s="5" t="s">
        <v>30</v>
      </c>
      <c r="D12" s="5" t="s">
        <v>31</v>
      </c>
      <c r="E12" s="2" t="s">
        <v>32</v>
      </c>
      <c r="F12" s="2" t="s">
        <v>31</v>
      </c>
      <c r="G12" s="19">
        <v>53.2</v>
      </c>
      <c r="H12" s="85"/>
      <c r="I12" s="19">
        <f>IR12*G12+IS12*G12</f>
        <v>0</v>
      </c>
      <c r="J12" s="5" t="s">
        <v>33</v>
      </c>
      <c r="K12" s="4" t="s">
        <v>34</v>
      </c>
      <c r="HV12" s="2" t="s">
        <v>27</v>
      </c>
      <c r="HW12" s="2" t="s">
        <v>35</v>
      </c>
      <c r="IR12" s="20">
        <f>H12*0.696245707</f>
        <v>0</v>
      </c>
      <c r="IS12" s="20">
        <f>H12*(1-0.696245707)</f>
        <v>0</v>
      </c>
    </row>
    <row r="13" spans="1:253" s="180" customFormat="1" x14ac:dyDescent="0.25">
      <c r="A13" s="176" t="s">
        <v>31</v>
      </c>
      <c r="B13" s="177"/>
      <c r="C13" s="177"/>
      <c r="D13" s="177"/>
      <c r="E13" s="177"/>
      <c r="F13" s="178" t="s">
        <v>36</v>
      </c>
      <c r="G13" s="179">
        <v>53.2</v>
      </c>
      <c r="H13" s="179"/>
      <c r="K13" s="181"/>
      <c r="HV13" s="178" t="s">
        <v>27</v>
      </c>
      <c r="HW13" s="178" t="s">
        <v>35</v>
      </c>
      <c r="IR13" s="182">
        <f>H13*0.696245707</f>
        <v>0</v>
      </c>
      <c r="IS13" s="182">
        <f>H13*(1-0.696245707)</f>
        <v>0</v>
      </c>
    </row>
    <row r="14" spans="1:253" ht="54" customHeight="1" x14ac:dyDescent="0.25">
      <c r="A14" s="18">
        <v>2</v>
      </c>
      <c r="B14" s="2" t="s">
        <v>37</v>
      </c>
      <c r="C14" s="5" t="s">
        <v>38</v>
      </c>
      <c r="D14" s="5" t="s">
        <v>31</v>
      </c>
      <c r="E14" s="2" t="s">
        <v>32</v>
      </c>
      <c r="F14" s="2" t="s">
        <v>31</v>
      </c>
      <c r="G14" s="19">
        <v>7.45</v>
      </c>
      <c r="H14" s="85"/>
      <c r="I14" s="19">
        <f>IR14*G14+IS14*G14</f>
        <v>0</v>
      </c>
      <c r="J14" s="5" t="s">
        <v>33</v>
      </c>
      <c r="K14" s="4" t="s">
        <v>34</v>
      </c>
      <c r="HV14" s="2" t="s">
        <v>27</v>
      </c>
      <c r="HW14" s="2" t="s">
        <v>35</v>
      </c>
      <c r="IR14" s="20">
        <f>H14*0.739096733</f>
        <v>0</v>
      </c>
      <c r="IS14" s="20">
        <f>H14*(1-0.739096733)</f>
        <v>0</v>
      </c>
    </row>
    <row r="15" spans="1:253" x14ac:dyDescent="0.25">
      <c r="A15" s="90" t="s">
        <v>31</v>
      </c>
      <c r="B15" s="91"/>
      <c r="C15" s="91"/>
      <c r="D15" s="91"/>
      <c r="E15" s="91"/>
      <c r="F15" s="2" t="s">
        <v>39</v>
      </c>
      <c r="G15" s="19">
        <v>7.45</v>
      </c>
      <c r="H15" s="85"/>
      <c r="K15" s="21"/>
      <c r="HV15" s="2" t="s">
        <v>27</v>
      </c>
      <c r="HW15" s="2" t="s">
        <v>35</v>
      </c>
      <c r="IR15" s="20">
        <f>H15*0.739096733</f>
        <v>0</v>
      </c>
      <c r="IS15" s="20">
        <f>H15*(1-0.739096733)</f>
        <v>0</v>
      </c>
    </row>
    <row r="16" spans="1:253" x14ac:dyDescent="0.25">
      <c r="A16" s="22" t="s">
        <v>26</v>
      </c>
      <c r="B16" s="23" t="s">
        <v>40</v>
      </c>
      <c r="C16" s="24" t="s">
        <v>41</v>
      </c>
      <c r="D16" s="23" t="s">
        <v>26</v>
      </c>
      <c r="E16" s="23" t="s">
        <v>26</v>
      </c>
      <c r="F16" s="23" t="s">
        <v>26</v>
      </c>
      <c r="G16" s="25" t="s">
        <v>26</v>
      </c>
      <c r="H16" s="25" t="s">
        <v>26</v>
      </c>
      <c r="I16" s="26">
        <f>SUM(I17:I23)</f>
        <v>0</v>
      </c>
      <c r="J16" s="23" t="s">
        <v>26</v>
      </c>
      <c r="K16" s="27" t="s">
        <v>26</v>
      </c>
    </row>
    <row r="17" spans="1:253" ht="27" customHeight="1" x14ac:dyDescent="0.25">
      <c r="A17" s="18">
        <v>3</v>
      </c>
      <c r="B17" s="2" t="s">
        <v>42</v>
      </c>
      <c r="C17" s="5" t="s">
        <v>43</v>
      </c>
      <c r="D17" s="5" t="s">
        <v>44</v>
      </c>
      <c r="E17" s="2" t="s">
        <v>45</v>
      </c>
      <c r="F17" s="2" t="s">
        <v>31</v>
      </c>
      <c r="G17" s="19">
        <v>22.19</v>
      </c>
      <c r="H17" s="85"/>
      <c r="I17" s="19">
        <f>IR17*G17+IS17*G17</f>
        <v>0</v>
      </c>
      <c r="J17" s="5" t="s">
        <v>46</v>
      </c>
      <c r="K17" s="4" t="s">
        <v>34</v>
      </c>
      <c r="HV17" s="2" t="s">
        <v>40</v>
      </c>
      <c r="HW17" s="2" t="s">
        <v>35</v>
      </c>
      <c r="IR17" s="20">
        <f>H17*0.75522003</f>
        <v>0</v>
      </c>
      <c r="IS17" s="20">
        <f>H17*(1-0.75522003)</f>
        <v>0</v>
      </c>
    </row>
    <row r="18" spans="1:253" s="180" customFormat="1" x14ac:dyDescent="0.25">
      <c r="A18" s="176" t="s">
        <v>31</v>
      </c>
      <c r="B18" s="177"/>
      <c r="C18" s="177"/>
      <c r="D18" s="177"/>
      <c r="E18" s="177"/>
      <c r="F18" s="178" t="s">
        <v>47</v>
      </c>
      <c r="G18" s="179">
        <v>8.5399999999999991</v>
      </c>
      <c r="H18" s="179"/>
      <c r="K18" s="181"/>
      <c r="HV18" s="178" t="s">
        <v>40</v>
      </c>
      <c r="HW18" s="178" t="s">
        <v>35</v>
      </c>
      <c r="IR18" s="182">
        <f>H18*0.75522003</f>
        <v>0</v>
      </c>
      <c r="IS18" s="182">
        <f>H18*(1-0.75522003)</f>
        <v>0</v>
      </c>
    </row>
    <row r="19" spans="1:253" s="180" customFormat="1" x14ac:dyDescent="0.25">
      <c r="A19" s="176" t="s">
        <v>31</v>
      </c>
      <c r="B19" s="177"/>
      <c r="C19" s="177"/>
      <c r="D19" s="177"/>
      <c r="E19" s="177"/>
      <c r="F19" s="178" t="s">
        <v>48</v>
      </c>
      <c r="G19" s="179">
        <v>13.65</v>
      </c>
      <c r="H19" s="179"/>
      <c r="K19" s="181"/>
      <c r="HV19" s="178" t="s">
        <v>40</v>
      </c>
      <c r="HW19" s="178" t="s">
        <v>35</v>
      </c>
      <c r="IR19" s="182">
        <f>H19*0.75522003</f>
        <v>0</v>
      </c>
      <c r="IS19" s="182">
        <f>H19*(1-0.75522003)</f>
        <v>0</v>
      </c>
    </row>
    <row r="20" spans="1:253" ht="12.75" customHeight="1" x14ac:dyDescent="0.25">
      <c r="A20" s="18">
        <v>4</v>
      </c>
      <c r="B20" s="2" t="s">
        <v>49</v>
      </c>
      <c r="C20" s="5" t="s">
        <v>50</v>
      </c>
      <c r="D20" s="5" t="s">
        <v>44</v>
      </c>
      <c r="E20" s="2" t="s">
        <v>32</v>
      </c>
      <c r="F20" s="2" t="s">
        <v>31</v>
      </c>
      <c r="G20" s="19">
        <v>26.45</v>
      </c>
      <c r="H20" s="85"/>
      <c r="I20" s="19">
        <f>IR20*G20+IS20*G20</f>
        <v>0</v>
      </c>
      <c r="J20" s="5" t="s">
        <v>31</v>
      </c>
      <c r="K20" s="4" t="s">
        <v>34</v>
      </c>
      <c r="HV20" s="2" t="s">
        <v>40</v>
      </c>
      <c r="HW20" s="2" t="s">
        <v>35</v>
      </c>
      <c r="IR20" s="20">
        <f>H20*0.157178423</f>
        <v>0</v>
      </c>
      <c r="IS20" s="20">
        <f>H20*(1-0.157178423)</f>
        <v>0</v>
      </c>
    </row>
    <row r="21" spans="1:253" x14ac:dyDescent="0.25">
      <c r="A21" s="90" t="s">
        <v>31</v>
      </c>
      <c r="B21" s="91"/>
      <c r="C21" s="91"/>
      <c r="D21" s="91"/>
      <c r="E21" s="91"/>
      <c r="F21" s="2" t="s">
        <v>51</v>
      </c>
      <c r="G21" s="19">
        <v>26.45</v>
      </c>
      <c r="H21" s="85"/>
      <c r="K21" s="21"/>
      <c r="HV21" s="2" t="s">
        <v>40</v>
      </c>
      <c r="HW21" s="2" t="s">
        <v>35</v>
      </c>
      <c r="IR21" s="20">
        <f>H21*0.157178423</f>
        <v>0</v>
      </c>
      <c r="IS21" s="20">
        <f>H21*(1-0.157178423)</f>
        <v>0</v>
      </c>
    </row>
    <row r="22" spans="1:253" ht="12.75" customHeight="1" x14ac:dyDescent="0.25">
      <c r="A22" s="18">
        <v>5</v>
      </c>
      <c r="B22" s="2" t="s">
        <v>52</v>
      </c>
      <c r="C22" s="5" t="s">
        <v>53</v>
      </c>
      <c r="D22" s="5" t="s">
        <v>44</v>
      </c>
      <c r="E22" s="2" t="s">
        <v>32</v>
      </c>
      <c r="F22" s="2" t="s">
        <v>31</v>
      </c>
      <c r="G22" s="19">
        <v>27.3</v>
      </c>
      <c r="H22" s="85"/>
      <c r="I22" s="19">
        <f>IR22*G22+IS22*G22</f>
        <v>0</v>
      </c>
      <c r="J22" s="5" t="s">
        <v>31</v>
      </c>
      <c r="K22" s="4" t="s">
        <v>34</v>
      </c>
      <c r="HV22" s="2" t="s">
        <v>40</v>
      </c>
      <c r="HW22" s="2" t="s">
        <v>35</v>
      </c>
      <c r="IR22" s="20">
        <f>H22*0.415933556</f>
        <v>0</v>
      </c>
      <c r="IS22" s="20">
        <f>H22*(1-0.415933556)</f>
        <v>0</v>
      </c>
    </row>
    <row r="23" spans="1:253" s="180" customFormat="1" x14ac:dyDescent="0.25">
      <c r="A23" s="176" t="s">
        <v>31</v>
      </c>
      <c r="B23" s="177"/>
      <c r="C23" s="177"/>
      <c r="D23" s="177"/>
      <c r="E23" s="177"/>
      <c r="F23" s="178" t="s">
        <v>54</v>
      </c>
      <c r="G23" s="179">
        <v>27.3</v>
      </c>
      <c r="H23" s="179"/>
      <c r="K23" s="181"/>
      <c r="HV23" s="178" t="s">
        <v>40</v>
      </c>
      <c r="HW23" s="178" t="s">
        <v>35</v>
      </c>
      <c r="IR23" s="182">
        <f>H23*0.415933556</f>
        <v>0</v>
      </c>
      <c r="IS23" s="182">
        <f>H23*(1-0.415933556)</f>
        <v>0</v>
      </c>
    </row>
    <row r="24" spans="1:253" x14ac:dyDescent="0.25">
      <c r="A24" s="22" t="s">
        <v>26</v>
      </c>
      <c r="B24" s="23" t="s">
        <v>55</v>
      </c>
      <c r="C24" s="24" t="s">
        <v>56</v>
      </c>
      <c r="D24" s="23" t="s">
        <v>26</v>
      </c>
      <c r="E24" s="23" t="s">
        <v>26</v>
      </c>
      <c r="F24" s="23" t="s">
        <v>26</v>
      </c>
      <c r="G24" s="25" t="s">
        <v>26</v>
      </c>
      <c r="H24" s="25" t="s">
        <v>26</v>
      </c>
      <c r="I24" s="26">
        <f>SUM(I25:I30)</f>
        <v>0</v>
      </c>
      <c r="J24" s="23" t="s">
        <v>26</v>
      </c>
      <c r="K24" s="27" t="s">
        <v>26</v>
      </c>
    </row>
    <row r="25" spans="1:253" ht="27" customHeight="1" x14ac:dyDescent="0.25">
      <c r="A25" s="18">
        <v>6</v>
      </c>
      <c r="B25" s="2" t="s">
        <v>57</v>
      </c>
      <c r="C25" s="5" t="s">
        <v>58</v>
      </c>
      <c r="D25" s="5" t="s">
        <v>59</v>
      </c>
      <c r="E25" s="2" t="s">
        <v>45</v>
      </c>
      <c r="F25" s="2" t="s">
        <v>31</v>
      </c>
      <c r="G25" s="19">
        <v>28.45</v>
      </c>
      <c r="H25" s="85"/>
      <c r="I25" s="19">
        <f>IR25*G25+IS25*G25</f>
        <v>0</v>
      </c>
      <c r="J25" s="5" t="s">
        <v>60</v>
      </c>
      <c r="K25" s="4" t="s">
        <v>34</v>
      </c>
      <c r="HV25" s="2" t="s">
        <v>55</v>
      </c>
      <c r="HW25" s="2" t="s">
        <v>35</v>
      </c>
      <c r="IR25" s="20">
        <f>H25*0.774364641</f>
        <v>0</v>
      </c>
      <c r="IS25" s="20">
        <f>H25*(1-0.774364641)</f>
        <v>0</v>
      </c>
    </row>
    <row r="26" spans="1:253" s="180" customFormat="1" x14ac:dyDescent="0.25">
      <c r="A26" s="176" t="s">
        <v>31</v>
      </c>
      <c r="B26" s="177"/>
      <c r="C26" s="177"/>
      <c r="D26" s="177"/>
      <c r="E26" s="177"/>
      <c r="F26" s="178" t="s">
        <v>61</v>
      </c>
      <c r="G26" s="179">
        <v>28.45</v>
      </c>
      <c r="H26" s="179"/>
      <c r="K26" s="181"/>
      <c r="HV26" s="178" t="s">
        <v>55</v>
      </c>
      <c r="HW26" s="178" t="s">
        <v>35</v>
      </c>
      <c r="IR26" s="182">
        <f>H26*0.774364641</f>
        <v>0</v>
      </c>
      <c r="IS26" s="182">
        <f>H26*(1-0.774364641)</f>
        <v>0</v>
      </c>
    </row>
    <row r="27" spans="1:253" ht="67.5" customHeight="1" x14ac:dyDescent="0.25">
      <c r="A27" s="18">
        <v>7</v>
      </c>
      <c r="B27" s="2" t="s">
        <v>62</v>
      </c>
      <c r="C27" s="5" t="s">
        <v>63</v>
      </c>
      <c r="D27" s="5" t="s">
        <v>64</v>
      </c>
      <c r="E27" s="2" t="s">
        <v>45</v>
      </c>
      <c r="F27" s="2" t="s">
        <v>31</v>
      </c>
      <c r="G27" s="19">
        <v>28.45</v>
      </c>
      <c r="H27" s="85"/>
      <c r="I27" s="19">
        <f>IR27*G27+IS27*G27</f>
        <v>0</v>
      </c>
      <c r="J27" s="5" t="s">
        <v>65</v>
      </c>
      <c r="K27" s="4" t="s">
        <v>34</v>
      </c>
      <c r="HV27" s="2" t="s">
        <v>55</v>
      </c>
      <c r="HW27" s="2" t="s">
        <v>35</v>
      </c>
      <c r="IR27" s="20">
        <f>H27*0.791618399</f>
        <v>0</v>
      </c>
      <c r="IS27" s="20">
        <f>H27*(1-0.791618399)</f>
        <v>0</v>
      </c>
    </row>
    <row r="28" spans="1:253" ht="67.5" customHeight="1" x14ac:dyDescent="0.25">
      <c r="A28" s="18">
        <v>8</v>
      </c>
      <c r="B28" s="2" t="s">
        <v>66</v>
      </c>
      <c r="C28" s="5" t="s">
        <v>67</v>
      </c>
      <c r="D28" s="5" t="s">
        <v>31</v>
      </c>
      <c r="E28" s="2" t="s">
        <v>45</v>
      </c>
      <c r="F28" s="2" t="s">
        <v>31</v>
      </c>
      <c r="G28" s="19">
        <v>28.45</v>
      </c>
      <c r="H28" s="85"/>
      <c r="I28" s="19">
        <f>IR28*G28+IS28*G28</f>
        <v>0</v>
      </c>
      <c r="J28" s="5" t="s">
        <v>65</v>
      </c>
      <c r="K28" s="4" t="s">
        <v>34</v>
      </c>
      <c r="HV28" s="2" t="s">
        <v>55</v>
      </c>
      <c r="HW28" s="2" t="s">
        <v>35</v>
      </c>
      <c r="IR28" s="20">
        <f>H28*0.567967742</f>
        <v>0</v>
      </c>
      <c r="IS28" s="20">
        <f>H28*(1-0.567967742)</f>
        <v>0</v>
      </c>
    </row>
    <row r="29" spans="1:253" ht="94.5" customHeight="1" x14ac:dyDescent="0.25">
      <c r="A29" s="18">
        <v>9</v>
      </c>
      <c r="B29" s="2" t="s">
        <v>68</v>
      </c>
      <c r="C29" s="5" t="s">
        <v>69</v>
      </c>
      <c r="D29" s="5" t="s">
        <v>70</v>
      </c>
      <c r="E29" s="2" t="s">
        <v>45</v>
      </c>
      <c r="F29" s="2" t="s">
        <v>31</v>
      </c>
      <c r="G29" s="19">
        <v>5.69</v>
      </c>
      <c r="H29" s="85"/>
      <c r="I29" s="19">
        <f>IR29*G29+IS29*G29</f>
        <v>0</v>
      </c>
      <c r="J29" s="5" t="s">
        <v>71</v>
      </c>
      <c r="K29" s="4" t="s">
        <v>34</v>
      </c>
      <c r="HV29" s="2" t="s">
        <v>55</v>
      </c>
      <c r="HW29" s="2" t="s">
        <v>35</v>
      </c>
      <c r="IR29" s="20">
        <f>H29*0.770037267</f>
        <v>0</v>
      </c>
      <c r="IS29" s="20">
        <f>H29*(1-0.770037267)</f>
        <v>0</v>
      </c>
    </row>
    <row r="30" spans="1:253" s="180" customFormat="1" x14ac:dyDescent="0.25">
      <c r="A30" s="176" t="s">
        <v>31</v>
      </c>
      <c r="B30" s="177"/>
      <c r="C30" s="177"/>
      <c r="D30" s="177"/>
      <c r="E30" s="177"/>
      <c r="F30" s="178" t="s">
        <v>72</v>
      </c>
      <c r="G30" s="179">
        <v>5.69</v>
      </c>
      <c r="H30" s="179"/>
      <c r="K30" s="181"/>
      <c r="HV30" s="178" t="s">
        <v>55</v>
      </c>
      <c r="HW30" s="178" t="s">
        <v>35</v>
      </c>
      <c r="IR30" s="182">
        <f>H30*0.770037267</f>
        <v>0</v>
      </c>
      <c r="IS30" s="182">
        <f>H30*(1-0.770037267)</f>
        <v>0</v>
      </c>
    </row>
    <row r="31" spans="1:253" x14ac:dyDescent="0.25">
      <c r="A31" s="22" t="s">
        <v>26</v>
      </c>
      <c r="B31" s="23" t="s">
        <v>73</v>
      </c>
      <c r="C31" s="24" t="s">
        <v>74</v>
      </c>
      <c r="D31" s="23" t="s">
        <v>26</v>
      </c>
      <c r="E31" s="23" t="s">
        <v>26</v>
      </c>
      <c r="F31" s="23" t="s">
        <v>26</v>
      </c>
      <c r="G31" s="25" t="s">
        <v>26</v>
      </c>
      <c r="H31" s="25" t="s">
        <v>26</v>
      </c>
      <c r="I31" s="26">
        <f>SUM(I32:I35)</f>
        <v>0</v>
      </c>
      <c r="J31" s="23" t="s">
        <v>26</v>
      </c>
      <c r="K31" s="27" t="s">
        <v>26</v>
      </c>
    </row>
    <row r="32" spans="1:253" ht="40.5" customHeight="1" x14ac:dyDescent="0.25">
      <c r="A32" s="18">
        <v>10</v>
      </c>
      <c r="B32" s="2" t="s">
        <v>75</v>
      </c>
      <c r="C32" s="5" t="s">
        <v>76</v>
      </c>
      <c r="D32" s="5" t="s">
        <v>31</v>
      </c>
      <c r="E32" s="2" t="s">
        <v>45</v>
      </c>
      <c r="F32" s="2" t="s">
        <v>31</v>
      </c>
      <c r="G32" s="19">
        <v>28.45</v>
      </c>
      <c r="H32" s="85"/>
      <c r="I32" s="19">
        <f>IR32*G32+IS32*G32</f>
        <v>0</v>
      </c>
      <c r="J32" s="5" t="s">
        <v>77</v>
      </c>
      <c r="K32" s="4" t="s">
        <v>34</v>
      </c>
      <c r="HV32" s="2" t="s">
        <v>73</v>
      </c>
      <c r="HW32" s="2" t="s">
        <v>35</v>
      </c>
      <c r="IR32" s="20">
        <f>H32*0.750732801</f>
        <v>0</v>
      </c>
      <c r="IS32" s="20">
        <f>H32*(1-0.750732801)</f>
        <v>0</v>
      </c>
    </row>
    <row r="33" spans="1:253" s="180" customFormat="1" x14ac:dyDescent="0.25">
      <c r="A33" s="176" t="s">
        <v>31</v>
      </c>
      <c r="B33" s="177"/>
      <c r="C33" s="177"/>
      <c r="D33" s="177"/>
      <c r="E33" s="177"/>
      <c r="F33" s="178" t="s">
        <v>78</v>
      </c>
      <c r="G33" s="179">
        <v>28.45</v>
      </c>
      <c r="H33" s="179"/>
      <c r="K33" s="181"/>
      <c r="HV33" s="178" t="s">
        <v>73</v>
      </c>
      <c r="HW33" s="178" t="s">
        <v>35</v>
      </c>
      <c r="IR33" s="182">
        <f>H33*0.750732801</f>
        <v>0</v>
      </c>
      <c r="IS33" s="182">
        <f>H33*(1-0.750732801)</f>
        <v>0</v>
      </c>
    </row>
    <row r="34" spans="1:253" ht="13.5" customHeight="1" x14ac:dyDescent="0.25">
      <c r="A34" s="18">
        <v>11</v>
      </c>
      <c r="B34" s="2" t="s">
        <v>79</v>
      </c>
      <c r="C34" s="5" t="s">
        <v>80</v>
      </c>
      <c r="D34" s="5" t="s">
        <v>31</v>
      </c>
      <c r="E34" s="2" t="s">
        <v>45</v>
      </c>
      <c r="F34" s="2" t="s">
        <v>31</v>
      </c>
      <c r="G34" s="19">
        <v>28.45</v>
      </c>
      <c r="H34" s="85"/>
      <c r="I34" s="19">
        <f>IR34*G34+IS34*G34</f>
        <v>0</v>
      </c>
      <c r="J34" s="5" t="s">
        <v>81</v>
      </c>
      <c r="K34" s="4" t="s">
        <v>34</v>
      </c>
      <c r="HV34" s="2" t="s">
        <v>73</v>
      </c>
      <c r="HW34" s="2" t="s">
        <v>35</v>
      </c>
      <c r="IR34" s="20">
        <f>H34*0</f>
        <v>0</v>
      </c>
      <c r="IS34" s="20">
        <f>H34*(1-0)</f>
        <v>0</v>
      </c>
    </row>
    <row r="35" spans="1:253" s="180" customFormat="1" x14ac:dyDescent="0.25">
      <c r="A35" s="176" t="s">
        <v>31</v>
      </c>
      <c r="B35" s="177"/>
      <c r="C35" s="177"/>
      <c r="D35" s="177"/>
      <c r="E35" s="177"/>
      <c r="F35" s="178" t="s">
        <v>82</v>
      </c>
      <c r="G35" s="179">
        <v>28.45</v>
      </c>
      <c r="H35" s="179"/>
      <c r="K35" s="181"/>
      <c r="HV35" s="178" t="s">
        <v>73</v>
      </c>
      <c r="HW35" s="178" t="s">
        <v>35</v>
      </c>
      <c r="IR35" s="182">
        <f>H35*0</f>
        <v>0</v>
      </c>
      <c r="IS35" s="182">
        <f>H35*(1-0)</f>
        <v>0</v>
      </c>
    </row>
    <row r="36" spans="1:253" x14ac:dyDescent="0.25">
      <c r="A36" s="22" t="s">
        <v>26</v>
      </c>
      <c r="B36" s="23" t="s">
        <v>83</v>
      </c>
      <c r="C36" s="24" t="s">
        <v>84</v>
      </c>
      <c r="D36" s="23" t="s">
        <v>26</v>
      </c>
      <c r="E36" s="23" t="s">
        <v>26</v>
      </c>
      <c r="F36" s="23" t="s">
        <v>26</v>
      </c>
      <c r="G36" s="25" t="s">
        <v>26</v>
      </c>
      <c r="H36" s="25" t="s">
        <v>26</v>
      </c>
      <c r="I36" s="26">
        <f>SUM(I37:I39)</f>
        <v>0</v>
      </c>
      <c r="J36" s="23" t="s">
        <v>26</v>
      </c>
      <c r="K36" s="27" t="s">
        <v>26</v>
      </c>
    </row>
    <row r="37" spans="1:253" ht="40.5" customHeight="1" x14ac:dyDescent="0.25">
      <c r="A37" s="18">
        <v>12</v>
      </c>
      <c r="B37" s="2" t="s">
        <v>85</v>
      </c>
      <c r="C37" s="5" t="s">
        <v>86</v>
      </c>
      <c r="D37" s="5" t="s">
        <v>87</v>
      </c>
      <c r="E37" s="2" t="s">
        <v>45</v>
      </c>
      <c r="F37" s="2" t="s">
        <v>31</v>
      </c>
      <c r="G37" s="19">
        <v>22.19</v>
      </c>
      <c r="H37" s="85"/>
      <c r="I37" s="19">
        <f>IR37*G37+IS37*G37</f>
        <v>0</v>
      </c>
      <c r="J37" s="5" t="s">
        <v>88</v>
      </c>
      <c r="K37" s="4" t="s">
        <v>34</v>
      </c>
      <c r="HV37" s="2" t="s">
        <v>83</v>
      </c>
      <c r="HW37" s="2" t="s">
        <v>35</v>
      </c>
      <c r="IR37" s="20">
        <f>H37*0.729828851</f>
        <v>0</v>
      </c>
      <c r="IS37" s="20">
        <f>H37*(1-0.729828851)</f>
        <v>0</v>
      </c>
    </row>
    <row r="38" spans="1:253" s="180" customFormat="1" x14ac:dyDescent="0.25">
      <c r="A38" s="176" t="s">
        <v>31</v>
      </c>
      <c r="B38" s="177"/>
      <c r="C38" s="177"/>
      <c r="D38" s="177"/>
      <c r="E38" s="177"/>
      <c r="F38" s="178" t="s">
        <v>47</v>
      </c>
      <c r="G38" s="179">
        <v>8.5399999999999991</v>
      </c>
      <c r="H38" s="179"/>
      <c r="K38" s="181"/>
      <c r="HV38" s="178" t="s">
        <v>83</v>
      </c>
      <c r="HW38" s="178" t="s">
        <v>35</v>
      </c>
      <c r="IR38" s="182">
        <f>H38*0.729828851</f>
        <v>0</v>
      </c>
      <c r="IS38" s="182">
        <f>H38*(1-0.729828851)</f>
        <v>0</v>
      </c>
    </row>
    <row r="39" spans="1:253" s="180" customFormat="1" x14ac:dyDescent="0.25">
      <c r="A39" s="176" t="s">
        <v>31</v>
      </c>
      <c r="B39" s="177"/>
      <c r="C39" s="177"/>
      <c r="D39" s="177"/>
      <c r="E39" s="177"/>
      <c r="F39" s="178" t="s">
        <v>48</v>
      </c>
      <c r="G39" s="179">
        <v>13.65</v>
      </c>
      <c r="H39" s="179"/>
      <c r="K39" s="181"/>
      <c r="HV39" s="178" t="s">
        <v>83</v>
      </c>
      <c r="HW39" s="178" t="s">
        <v>35</v>
      </c>
      <c r="IR39" s="182">
        <f>H39*0.729828851</f>
        <v>0</v>
      </c>
      <c r="IS39" s="182">
        <f>H39*(1-0.729828851)</f>
        <v>0</v>
      </c>
    </row>
    <row r="40" spans="1:253" x14ac:dyDescent="0.25">
      <c r="A40" s="22" t="s">
        <v>26</v>
      </c>
      <c r="B40" s="23" t="s">
        <v>89</v>
      </c>
      <c r="C40" s="24" t="s">
        <v>90</v>
      </c>
      <c r="D40" s="23" t="s">
        <v>26</v>
      </c>
      <c r="E40" s="23" t="s">
        <v>26</v>
      </c>
      <c r="F40" s="23" t="s">
        <v>26</v>
      </c>
      <c r="G40" s="25" t="s">
        <v>26</v>
      </c>
      <c r="H40" s="25" t="s">
        <v>26</v>
      </c>
      <c r="I40" s="26">
        <f>SUM(I41:I41)</f>
        <v>0</v>
      </c>
      <c r="J40" s="23" t="s">
        <v>26</v>
      </c>
      <c r="K40" s="27" t="s">
        <v>26</v>
      </c>
    </row>
    <row r="41" spans="1:253" ht="40.5" customHeight="1" x14ac:dyDescent="0.25">
      <c r="A41" s="28">
        <v>13</v>
      </c>
      <c r="B41" s="7" t="s">
        <v>91</v>
      </c>
      <c r="C41" s="29" t="s">
        <v>92</v>
      </c>
      <c r="D41" s="29" t="s">
        <v>31</v>
      </c>
      <c r="E41" s="7" t="s">
        <v>45</v>
      </c>
      <c r="F41" s="7" t="s">
        <v>31</v>
      </c>
      <c r="G41" s="30">
        <v>28.45</v>
      </c>
      <c r="H41" s="86"/>
      <c r="I41" s="30">
        <f>IR41*G41+IS41*G41</f>
        <v>0</v>
      </c>
      <c r="J41" s="29" t="s">
        <v>93</v>
      </c>
      <c r="K41" s="8" t="s">
        <v>34</v>
      </c>
      <c r="HV41" s="2" t="s">
        <v>89</v>
      </c>
      <c r="HW41" s="2" t="s">
        <v>35</v>
      </c>
      <c r="IR41" s="20">
        <f>H41*0</f>
        <v>0</v>
      </c>
      <c r="IS41" s="20">
        <f>H41*(1-0)</f>
        <v>0</v>
      </c>
    </row>
    <row r="43" spans="1:253" x14ac:dyDescent="0.25">
      <c r="H43" s="3" t="s">
        <v>94</v>
      </c>
      <c r="I43" s="31">
        <f>ROUND(I11+I16+I24+I31+I36+I40,1)</f>
        <v>0</v>
      </c>
    </row>
  </sheetData>
  <sheetProtection password="8A43" sheet="1" objects="1" scenarios="1"/>
  <protectedRanges>
    <protectedRange sqref="H37" name="Oblast7"/>
    <protectedRange sqref="H32" name="Oblast5"/>
    <protectedRange sqref="H25" name="Oblast3"/>
    <protectedRange sqref="H17" name="Oblast1"/>
    <protectedRange sqref="H20:H22" name="Oblast2"/>
    <protectedRange sqref="H27:H29" name="Oblast4"/>
    <protectedRange sqref="H34" name="Oblast6"/>
    <protectedRange sqref="H41" name="Oblast8"/>
  </protectedRanges>
  <mergeCells count="37">
    <mergeCell ref="A39:E39"/>
    <mergeCell ref="A26:E26"/>
    <mergeCell ref="A30:E30"/>
    <mergeCell ref="A33:E33"/>
    <mergeCell ref="A35:E35"/>
    <mergeCell ref="A38:E38"/>
    <mergeCell ref="A15:E15"/>
    <mergeCell ref="A18:E18"/>
    <mergeCell ref="A19:E19"/>
    <mergeCell ref="A21:E21"/>
    <mergeCell ref="A23:E23"/>
    <mergeCell ref="G2:K3"/>
    <mergeCell ref="G4:K5"/>
    <mergeCell ref="G6:K7"/>
    <mergeCell ref="G8:K9"/>
    <mergeCell ref="A13:E13"/>
    <mergeCell ref="E8:E9"/>
    <mergeCell ref="F2:F3"/>
    <mergeCell ref="F4:F5"/>
    <mergeCell ref="F6:F7"/>
    <mergeCell ref="F8:F9"/>
    <mergeCell ref="A1:K1"/>
    <mergeCell ref="A2:B3"/>
    <mergeCell ref="A4:B5"/>
    <mergeCell ref="A6:B7"/>
    <mergeCell ref="A8:B9"/>
    <mergeCell ref="C2:C3"/>
    <mergeCell ref="C4:C5"/>
    <mergeCell ref="C6:C7"/>
    <mergeCell ref="C8:C9"/>
    <mergeCell ref="D2:D3"/>
    <mergeCell ref="D4:D5"/>
    <mergeCell ref="D6:D7"/>
    <mergeCell ref="D8:D9"/>
    <mergeCell ref="E2:E3"/>
    <mergeCell ref="E4:E5"/>
    <mergeCell ref="E6:E7"/>
  </mergeCells>
  <pageMargins left="0.393999993801117" right="0.393999993801117" top="0.59100002050399802" bottom="0.59100002050399802" header="0" footer="0"/>
  <pageSetup fitToHeight="0"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workbookViewId="0">
      <selection activeCell="A37" sqref="A37:I37"/>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102" t="s">
        <v>97</v>
      </c>
      <c r="B1" s="87"/>
      <c r="C1" s="87"/>
      <c r="D1" s="87"/>
      <c r="E1" s="87"/>
      <c r="F1" s="87"/>
      <c r="G1" s="87"/>
      <c r="H1" s="87"/>
      <c r="I1" s="87"/>
    </row>
    <row r="2" spans="1:9" x14ac:dyDescent="0.25">
      <c r="A2" s="88" t="s">
        <v>1</v>
      </c>
      <c r="B2" s="89"/>
      <c r="C2" s="95" t="str">
        <f>'Stavební rozpočet'!D2</f>
        <v>Fojtství v Kopřivnici</v>
      </c>
      <c r="D2" s="104"/>
      <c r="E2" s="98" t="s">
        <v>3</v>
      </c>
      <c r="F2" s="98" t="str">
        <f>'Stavební rozpočet'!K2</f>
        <v> </v>
      </c>
      <c r="G2" s="89"/>
      <c r="H2" s="98" t="s">
        <v>98</v>
      </c>
      <c r="I2" s="99" t="s">
        <v>31</v>
      </c>
    </row>
    <row r="3" spans="1:9" ht="15" customHeight="1" x14ac:dyDescent="0.25">
      <c r="A3" s="90"/>
      <c r="B3" s="91"/>
      <c r="C3" s="96"/>
      <c r="D3" s="96"/>
      <c r="E3" s="91"/>
      <c r="F3" s="91"/>
      <c r="G3" s="91"/>
      <c r="H3" s="91"/>
      <c r="I3" s="100"/>
    </row>
    <row r="4" spans="1:9" x14ac:dyDescent="0.25">
      <c r="A4" s="92" t="s">
        <v>4</v>
      </c>
      <c r="B4" s="91"/>
      <c r="C4" s="97" t="str">
        <f>'Stavební rozpočet'!D4</f>
        <v xml:space="preserve"> </v>
      </c>
      <c r="D4" s="91"/>
      <c r="E4" s="97" t="s">
        <v>6</v>
      </c>
      <c r="F4" s="97" t="str">
        <f>'Stavební rozpočet'!K4</f>
        <v> </v>
      </c>
      <c r="G4" s="91"/>
      <c r="H4" s="97" t="s">
        <v>98</v>
      </c>
      <c r="I4" s="100" t="s">
        <v>31</v>
      </c>
    </row>
    <row r="5" spans="1:9" ht="15" customHeight="1" x14ac:dyDescent="0.25">
      <c r="A5" s="90"/>
      <c r="B5" s="91"/>
      <c r="C5" s="91"/>
      <c r="D5" s="91"/>
      <c r="E5" s="91"/>
      <c r="F5" s="91"/>
      <c r="G5" s="91"/>
      <c r="H5" s="91"/>
      <c r="I5" s="100"/>
    </row>
    <row r="6" spans="1:9" x14ac:dyDescent="0.25">
      <c r="A6" s="92" t="s">
        <v>7</v>
      </c>
      <c r="B6" s="91"/>
      <c r="C6" s="97" t="str">
        <f>'Stavební rozpočet'!D6</f>
        <v xml:space="preserve"> </v>
      </c>
      <c r="D6" s="91"/>
      <c r="E6" s="97" t="s">
        <v>9</v>
      </c>
      <c r="F6" s="97" t="str">
        <f>'Stavební rozpočet'!K6</f>
        <v> </v>
      </c>
      <c r="G6" s="91"/>
      <c r="H6" s="97" t="s">
        <v>98</v>
      </c>
      <c r="I6" s="100" t="s">
        <v>31</v>
      </c>
    </row>
    <row r="7" spans="1:9" ht="15" customHeight="1" x14ac:dyDescent="0.25">
      <c r="A7" s="90"/>
      <c r="B7" s="91"/>
      <c r="C7" s="91"/>
      <c r="D7" s="91"/>
      <c r="E7" s="91"/>
      <c r="F7" s="91"/>
      <c r="G7" s="91"/>
      <c r="H7" s="91"/>
      <c r="I7" s="100"/>
    </row>
    <row r="8" spans="1:9" x14ac:dyDescent="0.25">
      <c r="A8" s="92" t="s">
        <v>5</v>
      </c>
      <c r="B8" s="91"/>
      <c r="C8" s="97" t="str">
        <f>'Stavební rozpočet'!H4</f>
        <v>19.07.2024</v>
      </c>
      <c r="D8" s="91"/>
      <c r="E8" s="97" t="s">
        <v>8</v>
      </c>
      <c r="F8" s="97" t="str">
        <f>'Stavební rozpočet'!H6</f>
        <v xml:space="preserve"> </v>
      </c>
      <c r="G8" s="91"/>
      <c r="H8" s="91" t="s">
        <v>99</v>
      </c>
      <c r="I8" s="103">
        <v>13</v>
      </c>
    </row>
    <row r="9" spans="1:9" x14ac:dyDescent="0.25">
      <c r="A9" s="90"/>
      <c r="B9" s="91"/>
      <c r="C9" s="91"/>
      <c r="D9" s="91"/>
      <c r="E9" s="91"/>
      <c r="F9" s="91"/>
      <c r="G9" s="91"/>
      <c r="H9" s="91"/>
      <c r="I9" s="100"/>
    </row>
    <row r="10" spans="1:9" x14ac:dyDescent="0.25">
      <c r="A10" s="92" t="s">
        <v>10</v>
      </c>
      <c r="B10" s="91"/>
      <c r="C10" s="97" t="str">
        <f>'Stavební rozpočet'!D8</f>
        <v xml:space="preserve"> </v>
      </c>
      <c r="D10" s="91"/>
      <c r="E10" s="97" t="s">
        <v>12</v>
      </c>
      <c r="F10" s="97" t="str">
        <f>'Stavební rozpočet'!K8</f>
        <v> </v>
      </c>
      <c r="G10" s="91"/>
      <c r="H10" s="91" t="s">
        <v>100</v>
      </c>
      <c r="I10" s="105" t="str">
        <f>'Stavební rozpočet'!H8</f>
        <v>19.07.2024</v>
      </c>
    </row>
    <row r="11" spans="1:9" x14ac:dyDescent="0.25">
      <c r="A11" s="93"/>
      <c r="B11" s="94"/>
      <c r="C11" s="94"/>
      <c r="D11" s="94"/>
      <c r="E11" s="94"/>
      <c r="F11" s="94"/>
      <c r="G11" s="94"/>
      <c r="H11" s="94"/>
      <c r="I11" s="101"/>
    </row>
    <row r="12" spans="1:9" ht="23.25" x14ac:dyDescent="0.25">
      <c r="A12" s="106" t="s">
        <v>101</v>
      </c>
      <c r="B12" s="106"/>
      <c r="C12" s="106"/>
      <c r="D12" s="106"/>
      <c r="E12" s="106"/>
      <c r="F12" s="106"/>
      <c r="G12" s="106"/>
      <c r="H12" s="106"/>
      <c r="I12" s="106"/>
    </row>
    <row r="13" spans="1:9" ht="26.25" customHeight="1" x14ac:dyDescent="0.25">
      <c r="A13" s="33" t="s">
        <v>102</v>
      </c>
      <c r="B13" s="107" t="s">
        <v>103</v>
      </c>
      <c r="C13" s="108"/>
      <c r="D13" s="34" t="s">
        <v>104</v>
      </c>
      <c r="E13" s="107" t="s">
        <v>105</v>
      </c>
      <c r="F13" s="108"/>
      <c r="G13" s="34" t="s">
        <v>106</v>
      </c>
      <c r="H13" s="107" t="s">
        <v>107</v>
      </c>
      <c r="I13" s="108"/>
    </row>
    <row r="14" spans="1:9" ht="15.75" x14ac:dyDescent="0.25">
      <c r="A14" s="35" t="s">
        <v>108</v>
      </c>
      <c r="B14" s="36" t="s">
        <v>109</v>
      </c>
      <c r="C14" s="37">
        <f>SUM('Stavební rozpočet'!AB12:AB30)</f>
        <v>0</v>
      </c>
      <c r="D14" s="115" t="s">
        <v>110</v>
      </c>
      <c r="E14" s="116"/>
      <c r="F14" s="37">
        <f>VORN!I15</f>
        <v>0</v>
      </c>
      <c r="G14" s="115" t="s">
        <v>111</v>
      </c>
      <c r="H14" s="116"/>
      <c r="I14" s="37">
        <f>VORN!I21</f>
        <v>0</v>
      </c>
    </row>
    <row r="15" spans="1:9" ht="15.75" x14ac:dyDescent="0.25">
      <c r="A15" s="38" t="s">
        <v>31</v>
      </c>
      <c r="B15" s="36" t="s">
        <v>112</v>
      </c>
      <c r="C15" s="37">
        <f>SUM('Stavební rozpočet'!AC12:AC30)</f>
        <v>0</v>
      </c>
      <c r="D15" s="115" t="s">
        <v>113</v>
      </c>
      <c r="E15" s="116"/>
      <c r="F15" s="37">
        <f>VORN!I16</f>
        <v>0</v>
      </c>
      <c r="G15" s="115" t="s">
        <v>114</v>
      </c>
      <c r="H15" s="116"/>
      <c r="I15" s="37">
        <f>VORN!I22</f>
        <v>0</v>
      </c>
    </row>
    <row r="16" spans="1:9" ht="15.75" x14ac:dyDescent="0.25">
      <c r="A16" s="35" t="s">
        <v>115</v>
      </c>
      <c r="B16" s="36" t="s">
        <v>109</v>
      </c>
      <c r="C16" s="37">
        <f>SUM('Stavební rozpočet'!AD12:AD30)</f>
        <v>0</v>
      </c>
      <c r="D16" s="115" t="s">
        <v>116</v>
      </c>
      <c r="E16" s="116"/>
      <c r="F16" s="37">
        <f>VORN!I17</f>
        <v>0</v>
      </c>
      <c r="G16" s="115" t="s">
        <v>117</v>
      </c>
      <c r="H16" s="116"/>
      <c r="I16" s="37">
        <f>VORN!I23</f>
        <v>0</v>
      </c>
    </row>
    <row r="17" spans="1:9" ht="15.75" x14ac:dyDescent="0.25">
      <c r="A17" s="38" t="s">
        <v>31</v>
      </c>
      <c r="B17" s="36" t="s">
        <v>112</v>
      </c>
      <c r="C17" s="37">
        <f>SUM('Stavební rozpočet'!AE12:AE30)</f>
        <v>0</v>
      </c>
      <c r="D17" s="115" t="s">
        <v>31</v>
      </c>
      <c r="E17" s="116"/>
      <c r="F17" s="39" t="s">
        <v>31</v>
      </c>
      <c r="G17" s="115" t="s">
        <v>118</v>
      </c>
      <c r="H17" s="116"/>
      <c r="I17" s="37">
        <f>VORN!I24</f>
        <v>0</v>
      </c>
    </row>
    <row r="18" spans="1:9" ht="15.75" x14ac:dyDescent="0.25">
      <c r="A18" s="35" t="s">
        <v>119</v>
      </c>
      <c r="B18" s="36" t="s">
        <v>109</v>
      </c>
      <c r="C18" s="37">
        <f>SUM('Stavební rozpočet'!AF12:AF30)</f>
        <v>0</v>
      </c>
      <c r="D18" s="115" t="s">
        <v>31</v>
      </c>
      <c r="E18" s="116"/>
      <c r="F18" s="39" t="s">
        <v>31</v>
      </c>
      <c r="G18" s="115" t="s">
        <v>120</v>
      </c>
      <c r="H18" s="116"/>
      <c r="I18" s="37">
        <f>VORN!I25</f>
        <v>0</v>
      </c>
    </row>
    <row r="19" spans="1:9" ht="15.75" x14ac:dyDescent="0.25">
      <c r="A19" s="38" t="s">
        <v>31</v>
      </c>
      <c r="B19" s="36" t="s">
        <v>112</v>
      </c>
      <c r="C19" s="37">
        <f>SUM('Stavební rozpočet'!AG12:AG30)</f>
        <v>0</v>
      </c>
      <c r="D19" s="115" t="s">
        <v>31</v>
      </c>
      <c r="E19" s="116"/>
      <c r="F19" s="39" t="s">
        <v>31</v>
      </c>
      <c r="G19" s="115" t="s">
        <v>121</v>
      </c>
      <c r="H19" s="116"/>
      <c r="I19" s="37">
        <f>VORN!I26</f>
        <v>0</v>
      </c>
    </row>
    <row r="20" spans="1:9" ht="15.75" x14ac:dyDescent="0.25">
      <c r="A20" s="109" t="s">
        <v>122</v>
      </c>
      <c r="B20" s="110"/>
      <c r="C20" s="37">
        <f>SUM('Stavební rozpočet'!AH12:AH30)</f>
        <v>0</v>
      </c>
      <c r="D20" s="115" t="s">
        <v>31</v>
      </c>
      <c r="E20" s="116"/>
      <c r="F20" s="39" t="s">
        <v>31</v>
      </c>
      <c r="G20" s="115" t="s">
        <v>31</v>
      </c>
      <c r="H20" s="116"/>
      <c r="I20" s="39" t="s">
        <v>31</v>
      </c>
    </row>
    <row r="21" spans="1:9" ht="15.75" x14ac:dyDescent="0.25">
      <c r="A21" s="111" t="s">
        <v>123</v>
      </c>
      <c r="B21" s="112"/>
      <c r="C21" s="40">
        <f>SUM('Stavební rozpočet'!Z12:Z30)</f>
        <v>0</v>
      </c>
      <c r="D21" s="117" t="s">
        <v>31</v>
      </c>
      <c r="E21" s="118"/>
      <c r="F21" s="41" t="s">
        <v>31</v>
      </c>
      <c r="G21" s="117" t="s">
        <v>31</v>
      </c>
      <c r="H21" s="118"/>
      <c r="I21" s="41" t="s">
        <v>31</v>
      </c>
    </row>
    <row r="22" spans="1:9" ht="16.5" customHeight="1" x14ac:dyDescent="0.25">
      <c r="A22" s="113" t="s">
        <v>124</v>
      </c>
      <c r="B22" s="114"/>
      <c r="C22" s="42">
        <f>ROUND(SUM(C14:C21),1)</f>
        <v>0</v>
      </c>
      <c r="D22" s="119" t="s">
        <v>125</v>
      </c>
      <c r="E22" s="114"/>
      <c r="F22" s="42">
        <f>SUM(F14:F21)</f>
        <v>0</v>
      </c>
      <c r="G22" s="119" t="s">
        <v>126</v>
      </c>
      <c r="H22" s="114"/>
      <c r="I22" s="42">
        <f>SUM(I14:I21)</f>
        <v>0</v>
      </c>
    </row>
    <row r="23" spans="1:9" ht="15.75" x14ac:dyDescent="0.25">
      <c r="D23" s="109" t="s">
        <v>127</v>
      </c>
      <c r="E23" s="110"/>
      <c r="F23" s="43">
        <v>0</v>
      </c>
      <c r="G23" s="120" t="s">
        <v>128</v>
      </c>
      <c r="H23" s="110"/>
      <c r="I23" s="37">
        <v>0</v>
      </c>
    </row>
    <row r="24" spans="1:9" ht="15.75" x14ac:dyDescent="0.25">
      <c r="G24" s="109" t="s">
        <v>129</v>
      </c>
      <c r="H24" s="110"/>
      <c r="I24" s="37">
        <f>vorn_sum</f>
        <v>0</v>
      </c>
    </row>
    <row r="25" spans="1:9" ht="15.75" x14ac:dyDescent="0.25">
      <c r="G25" s="109" t="s">
        <v>130</v>
      </c>
      <c r="H25" s="110"/>
      <c r="I25" s="37">
        <v>0</v>
      </c>
    </row>
    <row r="27" spans="1:9" ht="15.75" x14ac:dyDescent="0.25">
      <c r="A27" s="121" t="s">
        <v>131</v>
      </c>
      <c r="B27" s="122"/>
      <c r="C27" s="44">
        <f>ROUND(SUM('Stavební rozpočet'!AJ12:AJ30),1)</f>
        <v>0</v>
      </c>
    </row>
    <row r="28" spans="1:9" ht="15.75" x14ac:dyDescent="0.25">
      <c r="A28" s="123" t="s">
        <v>132</v>
      </c>
      <c r="B28" s="124"/>
      <c r="C28" s="45">
        <f>ROUND(SUM('Stavební rozpočet'!AK12:AK30),1)</f>
        <v>0</v>
      </c>
      <c r="D28" s="125" t="s">
        <v>133</v>
      </c>
      <c r="E28" s="122"/>
      <c r="F28" s="44">
        <f>ROUND(C28*(12/100),2)</f>
        <v>0</v>
      </c>
      <c r="G28" s="125" t="s">
        <v>134</v>
      </c>
      <c r="H28" s="122"/>
      <c r="I28" s="44">
        <f>ROUND(SUM(C27:C29),1)</f>
        <v>0</v>
      </c>
    </row>
    <row r="29" spans="1:9" ht="15.75" x14ac:dyDescent="0.25">
      <c r="A29" s="123" t="s">
        <v>135</v>
      </c>
      <c r="B29" s="124"/>
      <c r="C29" s="45">
        <f>ROUND(SUM('Stavební rozpočet'!AL12:AL30)+(F22+I22+F23+I23+I24+I25),1)</f>
        <v>0</v>
      </c>
      <c r="D29" s="126" t="s">
        <v>136</v>
      </c>
      <c r="E29" s="124"/>
      <c r="F29" s="45">
        <f>ROUND(C29*(21/100),2)</f>
        <v>0</v>
      </c>
      <c r="G29" s="126" t="s">
        <v>137</v>
      </c>
      <c r="H29" s="124"/>
      <c r="I29" s="45">
        <f>ROUND(SUM(F28:F29)+I28,1)</f>
        <v>0</v>
      </c>
    </row>
    <row r="31" spans="1:9" x14ac:dyDescent="0.25">
      <c r="A31" s="136" t="s">
        <v>138</v>
      </c>
      <c r="B31" s="128"/>
      <c r="C31" s="129"/>
      <c r="D31" s="127" t="s">
        <v>139</v>
      </c>
      <c r="E31" s="128"/>
      <c r="F31" s="129"/>
      <c r="G31" s="127" t="s">
        <v>140</v>
      </c>
      <c r="H31" s="128"/>
      <c r="I31" s="129"/>
    </row>
    <row r="32" spans="1:9" x14ac:dyDescent="0.25">
      <c r="A32" s="137" t="s">
        <v>31</v>
      </c>
      <c r="B32" s="131"/>
      <c r="C32" s="132"/>
      <c r="D32" s="130" t="s">
        <v>31</v>
      </c>
      <c r="E32" s="131"/>
      <c r="F32" s="132"/>
      <c r="G32" s="130" t="s">
        <v>31</v>
      </c>
      <c r="H32" s="131"/>
      <c r="I32" s="132"/>
    </row>
    <row r="33" spans="1:9" x14ac:dyDescent="0.25">
      <c r="A33" s="137" t="s">
        <v>31</v>
      </c>
      <c r="B33" s="131"/>
      <c r="C33" s="132"/>
      <c r="D33" s="130" t="s">
        <v>31</v>
      </c>
      <c r="E33" s="131"/>
      <c r="F33" s="132"/>
      <c r="G33" s="130" t="s">
        <v>31</v>
      </c>
      <c r="H33" s="131"/>
      <c r="I33" s="132"/>
    </row>
    <row r="34" spans="1:9" x14ac:dyDescent="0.25">
      <c r="A34" s="137" t="s">
        <v>31</v>
      </c>
      <c r="B34" s="131"/>
      <c r="C34" s="132"/>
      <c r="D34" s="130" t="s">
        <v>31</v>
      </c>
      <c r="E34" s="131"/>
      <c r="F34" s="132"/>
      <c r="G34" s="130" t="s">
        <v>31</v>
      </c>
      <c r="H34" s="131"/>
      <c r="I34" s="132"/>
    </row>
    <row r="35" spans="1:9" x14ac:dyDescent="0.25">
      <c r="A35" s="138" t="s">
        <v>141</v>
      </c>
      <c r="B35" s="134"/>
      <c r="C35" s="135"/>
      <c r="D35" s="133" t="s">
        <v>141</v>
      </c>
      <c r="E35" s="134"/>
      <c r="F35" s="135"/>
      <c r="G35" s="133" t="s">
        <v>141</v>
      </c>
      <c r="H35" s="134"/>
      <c r="I35" s="135"/>
    </row>
    <row r="36" spans="1:9" x14ac:dyDescent="0.25">
      <c r="A36" s="46" t="s">
        <v>96</v>
      </c>
    </row>
    <row r="37" spans="1:9" ht="12.75" customHeight="1" x14ac:dyDescent="0.25">
      <c r="A37" s="97" t="s">
        <v>31</v>
      </c>
      <c r="B37" s="91"/>
      <c r="C37" s="91"/>
      <c r="D37" s="91"/>
      <c r="E37" s="91"/>
      <c r="F37" s="91"/>
      <c r="G37" s="91"/>
      <c r="H37" s="91"/>
      <c r="I37" s="91"/>
    </row>
  </sheetData>
  <mergeCells count="83">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 ref="G24:H24"/>
    <mergeCell ref="G25:H25"/>
    <mergeCell ref="A27:B27"/>
    <mergeCell ref="A28:B28"/>
    <mergeCell ref="A29:B29"/>
    <mergeCell ref="D28:E28"/>
    <mergeCell ref="D29:E29"/>
    <mergeCell ref="G28:H28"/>
    <mergeCell ref="G29:H29"/>
    <mergeCell ref="D23:E23"/>
    <mergeCell ref="G14:H14"/>
    <mergeCell ref="G15:H15"/>
    <mergeCell ref="G16:H16"/>
    <mergeCell ref="G17:H17"/>
    <mergeCell ref="G18:H18"/>
    <mergeCell ref="G19:H19"/>
    <mergeCell ref="G20:H20"/>
    <mergeCell ref="G21:H21"/>
    <mergeCell ref="G22:H22"/>
    <mergeCell ref="G23:H23"/>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A10:B11"/>
    <mergeCell ref="H2:H3"/>
    <mergeCell ref="H4:H5"/>
    <mergeCell ref="H6:H7"/>
    <mergeCell ref="H8:H9"/>
    <mergeCell ref="H10:H11"/>
    <mergeCell ref="C8:D9"/>
    <mergeCell ref="C10:D11"/>
    <mergeCell ref="E2:E3"/>
    <mergeCell ref="E4:E5"/>
    <mergeCell ref="E6:E7"/>
    <mergeCell ref="E8:E9"/>
    <mergeCell ref="E10:E11"/>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s>
  <pageMargins left="0.393999993801117" right="0.393999993801117" top="0.59100002050399802" bottom="0.59100002050399802"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102" t="s">
        <v>142</v>
      </c>
      <c r="B1" s="87"/>
      <c r="C1" s="87"/>
      <c r="D1" s="87"/>
      <c r="E1" s="87"/>
      <c r="F1" s="87"/>
      <c r="G1" s="87"/>
      <c r="H1" s="87"/>
      <c r="I1" s="87"/>
    </row>
    <row r="2" spans="1:9" x14ac:dyDescent="0.25">
      <c r="A2" s="88" t="s">
        <v>1</v>
      </c>
      <c r="B2" s="89"/>
      <c r="C2" s="95" t="str">
        <f>'Stavební rozpočet'!D2</f>
        <v>Fojtství v Kopřivnici</v>
      </c>
      <c r="D2" s="104"/>
      <c r="E2" s="98" t="s">
        <v>3</v>
      </c>
      <c r="F2" s="98" t="str">
        <f>'Stavební rozpočet'!K2</f>
        <v> </v>
      </c>
      <c r="G2" s="89"/>
      <c r="H2" s="98" t="s">
        <v>98</v>
      </c>
      <c r="I2" s="99" t="s">
        <v>31</v>
      </c>
    </row>
    <row r="3" spans="1:9" ht="15" customHeight="1" x14ac:dyDescent="0.25">
      <c r="A3" s="90"/>
      <c r="B3" s="91"/>
      <c r="C3" s="96"/>
      <c r="D3" s="96"/>
      <c r="E3" s="91"/>
      <c r="F3" s="91"/>
      <c r="G3" s="91"/>
      <c r="H3" s="91"/>
      <c r="I3" s="100"/>
    </row>
    <row r="4" spans="1:9" x14ac:dyDescent="0.25">
      <c r="A4" s="92" t="s">
        <v>4</v>
      </c>
      <c r="B4" s="91"/>
      <c r="C4" s="97" t="str">
        <f>'Stavební rozpočet'!D4</f>
        <v xml:space="preserve"> </v>
      </c>
      <c r="D4" s="91"/>
      <c r="E4" s="97" t="s">
        <v>6</v>
      </c>
      <c r="F4" s="97" t="str">
        <f>'Stavební rozpočet'!K4</f>
        <v> </v>
      </c>
      <c r="G4" s="91"/>
      <c r="H4" s="97" t="s">
        <v>98</v>
      </c>
      <c r="I4" s="100" t="s">
        <v>31</v>
      </c>
    </row>
    <row r="5" spans="1:9" ht="15" customHeight="1" x14ac:dyDescent="0.25">
      <c r="A5" s="90"/>
      <c r="B5" s="91"/>
      <c r="C5" s="91"/>
      <c r="D5" s="91"/>
      <c r="E5" s="91"/>
      <c r="F5" s="91"/>
      <c r="G5" s="91"/>
      <c r="H5" s="91"/>
      <c r="I5" s="100"/>
    </row>
    <row r="6" spans="1:9" x14ac:dyDescent="0.25">
      <c r="A6" s="92" t="s">
        <v>7</v>
      </c>
      <c r="B6" s="91"/>
      <c r="C6" s="97" t="str">
        <f>'Stavební rozpočet'!D6</f>
        <v xml:space="preserve"> </v>
      </c>
      <c r="D6" s="91"/>
      <c r="E6" s="97" t="s">
        <v>9</v>
      </c>
      <c r="F6" s="97" t="str">
        <f>'Stavební rozpočet'!K6</f>
        <v> </v>
      </c>
      <c r="G6" s="91"/>
      <c r="H6" s="97" t="s">
        <v>98</v>
      </c>
      <c r="I6" s="100" t="s">
        <v>31</v>
      </c>
    </row>
    <row r="7" spans="1:9" ht="15" customHeight="1" x14ac:dyDescent="0.25">
      <c r="A7" s="90"/>
      <c r="B7" s="91"/>
      <c r="C7" s="91"/>
      <c r="D7" s="91"/>
      <c r="E7" s="91"/>
      <c r="F7" s="91"/>
      <c r="G7" s="91"/>
      <c r="H7" s="91"/>
      <c r="I7" s="100"/>
    </row>
    <row r="8" spans="1:9" x14ac:dyDescent="0.25">
      <c r="A8" s="92" t="s">
        <v>5</v>
      </c>
      <c r="B8" s="91"/>
      <c r="C8" s="97" t="str">
        <f>'Stavební rozpočet'!H4</f>
        <v>19.07.2024</v>
      </c>
      <c r="D8" s="91"/>
      <c r="E8" s="97" t="s">
        <v>8</v>
      </c>
      <c r="F8" s="97" t="str">
        <f>'Stavební rozpočet'!H6</f>
        <v xml:space="preserve"> </v>
      </c>
      <c r="G8" s="91"/>
      <c r="H8" s="91" t="s">
        <v>99</v>
      </c>
      <c r="I8" s="103">
        <v>13</v>
      </c>
    </row>
    <row r="9" spans="1:9" x14ac:dyDescent="0.25">
      <c r="A9" s="90"/>
      <c r="B9" s="91"/>
      <c r="C9" s="91"/>
      <c r="D9" s="91"/>
      <c r="E9" s="91"/>
      <c r="F9" s="91"/>
      <c r="G9" s="91"/>
      <c r="H9" s="91"/>
      <c r="I9" s="100"/>
    </row>
    <row r="10" spans="1:9" x14ac:dyDescent="0.25">
      <c r="A10" s="92" t="s">
        <v>10</v>
      </c>
      <c r="B10" s="91"/>
      <c r="C10" s="97" t="str">
        <f>'Stavební rozpočet'!D8</f>
        <v xml:space="preserve"> </v>
      </c>
      <c r="D10" s="91"/>
      <c r="E10" s="97" t="s">
        <v>12</v>
      </c>
      <c r="F10" s="97" t="str">
        <f>'Stavební rozpočet'!K8</f>
        <v> </v>
      </c>
      <c r="G10" s="91"/>
      <c r="H10" s="91" t="s">
        <v>100</v>
      </c>
      <c r="I10" s="105" t="str">
        <f>'Stavební rozpočet'!H8</f>
        <v>19.07.2024</v>
      </c>
    </row>
    <row r="11" spans="1:9" x14ac:dyDescent="0.25">
      <c r="A11" s="93"/>
      <c r="B11" s="94"/>
      <c r="C11" s="94"/>
      <c r="D11" s="94"/>
      <c r="E11" s="94"/>
      <c r="F11" s="94"/>
      <c r="G11" s="94"/>
      <c r="H11" s="94"/>
      <c r="I11" s="101"/>
    </row>
    <row r="13" spans="1:9" ht="15.75" x14ac:dyDescent="0.25">
      <c r="A13" s="139" t="s">
        <v>143</v>
      </c>
      <c r="B13" s="139"/>
      <c r="C13" s="139"/>
      <c r="D13" s="139"/>
      <c r="E13" s="139"/>
    </row>
    <row r="14" spans="1:9" x14ac:dyDescent="0.25">
      <c r="A14" s="140" t="s">
        <v>144</v>
      </c>
      <c r="B14" s="141"/>
      <c r="C14" s="141"/>
      <c r="D14" s="141"/>
      <c r="E14" s="142"/>
      <c r="F14" s="47" t="s">
        <v>145</v>
      </c>
      <c r="G14" s="47" t="s">
        <v>146</v>
      </c>
      <c r="H14" s="47" t="s">
        <v>147</v>
      </c>
      <c r="I14" s="47" t="s">
        <v>145</v>
      </c>
    </row>
    <row r="15" spans="1:9" x14ac:dyDescent="0.25">
      <c r="A15" s="143" t="s">
        <v>110</v>
      </c>
      <c r="B15" s="144"/>
      <c r="C15" s="144"/>
      <c r="D15" s="144"/>
      <c r="E15" s="145"/>
      <c r="F15" s="48">
        <v>0</v>
      </c>
      <c r="G15" s="49" t="s">
        <v>31</v>
      </c>
      <c r="H15" s="49" t="s">
        <v>31</v>
      </c>
      <c r="I15" s="48">
        <f>F15</f>
        <v>0</v>
      </c>
    </row>
    <row r="16" spans="1:9" x14ac:dyDescent="0.25">
      <c r="A16" s="143" t="s">
        <v>113</v>
      </c>
      <c r="B16" s="144"/>
      <c r="C16" s="144"/>
      <c r="D16" s="144"/>
      <c r="E16" s="145"/>
      <c r="F16" s="48">
        <v>0</v>
      </c>
      <c r="G16" s="49" t="s">
        <v>31</v>
      </c>
      <c r="H16" s="49" t="s">
        <v>31</v>
      </c>
      <c r="I16" s="48">
        <f>F16</f>
        <v>0</v>
      </c>
    </row>
    <row r="17" spans="1:9" x14ac:dyDescent="0.25">
      <c r="A17" s="146" t="s">
        <v>116</v>
      </c>
      <c r="B17" s="147"/>
      <c r="C17" s="147"/>
      <c r="D17" s="147"/>
      <c r="E17" s="148"/>
      <c r="F17" s="50">
        <v>0</v>
      </c>
      <c r="G17" s="51" t="s">
        <v>31</v>
      </c>
      <c r="H17" s="51" t="s">
        <v>31</v>
      </c>
      <c r="I17" s="50">
        <f>F17</f>
        <v>0</v>
      </c>
    </row>
    <row r="18" spans="1:9" x14ac:dyDescent="0.25">
      <c r="A18" s="149" t="s">
        <v>148</v>
      </c>
      <c r="B18" s="150"/>
      <c r="C18" s="150"/>
      <c r="D18" s="150"/>
      <c r="E18" s="151"/>
      <c r="F18" s="52" t="s">
        <v>31</v>
      </c>
      <c r="G18" s="53" t="s">
        <v>31</v>
      </c>
      <c r="H18" s="53" t="s">
        <v>31</v>
      </c>
      <c r="I18" s="54">
        <f>SUM(I15:I17)</f>
        <v>0</v>
      </c>
    </row>
    <row r="20" spans="1:9" x14ac:dyDescent="0.25">
      <c r="A20" s="140" t="s">
        <v>107</v>
      </c>
      <c r="B20" s="141"/>
      <c r="C20" s="141"/>
      <c r="D20" s="141"/>
      <c r="E20" s="142"/>
      <c r="F20" s="47" t="s">
        <v>145</v>
      </c>
      <c r="G20" s="47" t="s">
        <v>146</v>
      </c>
      <c r="H20" s="47" t="s">
        <v>147</v>
      </c>
      <c r="I20" s="47" t="s">
        <v>145</v>
      </c>
    </row>
    <row r="21" spans="1:9" x14ac:dyDescent="0.25">
      <c r="A21" s="143" t="s">
        <v>111</v>
      </c>
      <c r="B21" s="144"/>
      <c r="C21" s="144"/>
      <c r="D21" s="144"/>
      <c r="E21" s="145"/>
      <c r="F21" s="48">
        <v>0</v>
      </c>
      <c r="G21" s="49" t="s">
        <v>31</v>
      </c>
      <c r="H21" s="49" t="s">
        <v>31</v>
      </c>
      <c r="I21" s="48">
        <f t="shared" ref="I21:I26" si="0">F21</f>
        <v>0</v>
      </c>
    </row>
    <row r="22" spans="1:9" x14ac:dyDescent="0.25">
      <c r="A22" s="143" t="s">
        <v>114</v>
      </c>
      <c r="B22" s="144"/>
      <c r="C22" s="144"/>
      <c r="D22" s="144"/>
      <c r="E22" s="145"/>
      <c r="F22" s="48">
        <v>0</v>
      </c>
      <c r="G22" s="49" t="s">
        <v>31</v>
      </c>
      <c r="H22" s="49" t="s">
        <v>31</v>
      </c>
      <c r="I22" s="48">
        <f t="shared" si="0"/>
        <v>0</v>
      </c>
    </row>
    <row r="23" spans="1:9" x14ac:dyDescent="0.25">
      <c r="A23" s="143" t="s">
        <v>117</v>
      </c>
      <c r="B23" s="144"/>
      <c r="C23" s="144"/>
      <c r="D23" s="144"/>
      <c r="E23" s="145"/>
      <c r="F23" s="48">
        <v>0</v>
      </c>
      <c r="G23" s="49" t="s">
        <v>31</v>
      </c>
      <c r="H23" s="49" t="s">
        <v>31</v>
      </c>
      <c r="I23" s="48">
        <f t="shared" si="0"/>
        <v>0</v>
      </c>
    </row>
    <row r="24" spans="1:9" x14ac:dyDescent="0.25">
      <c r="A24" s="143" t="s">
        <v>118</v>
      </c>
      <c r="B24" s="144"/>
      <c r="C24" s="144"/>
      <c r="D24" s="144"/>
      <c r="E24" s="145"/>
      <c r="F24" s="48">
        <v>0</v>
      </c>
      <c r="G24" s="49" t="s">
        <v>31</v>
      </c>
      <c r="H24" s="49" t="s">
        <v>31</v>
      </c>
      <c r="I24" s="48">
        <f t="shared" si="0"/>
        <v>0</v>
      </c>
    </row>
    <row r="25" spans="1:9" x14ac:dyDescent="0.25">
      <c r="A25" s="143" t="s">
        <v>120</v>
      </c>
      <c r="B25" s="144"/>
      <c r="C25" s="144"/>
      <c r="D25" s="144"/>
      <c r="E25" s="145"/>
      <c r="F25" s="48">
        <v>0</v>
      </c>
      <c r="G25" s="49" t="s">
        <v>31</v>
      </c>
      <c r="H25" s="49" t="s">
        <v>31</v>
      </c>
      <c r="I25" s="48">
        <f t="shared" si="0"/>
        <v>0</v>
      </c>
    </row>
    <row r="26" spans="1:9" x14ac:dyDescent="0.25">
      <c r="A26" s="146" t="s">
        <v>121</v>
      </c>
      <c r="B26" s="147"/>
      <c r="C26" s="147"/>
      <c r="D26" s="147"/>
      <c r="E26" s="148"/>
      <c r="F26" s="50">
        <v>0</v>
      </c>
      <c r="G26" s="51" t="s">
        <v>31</v>
      </c>
      <c r="H26" s="51" t="s">
        <v>31</v>
      </c>
      <c r="I26" s="50">
        <f t="shared" si="0"/>
        <v>0</v>
      </c>
    </row>
    <row r="27" spans="1:9" x14ac:dyDescent="0.25">
      <c r="A27" s="149" t="s">
        <v>149</v>
      </c>
      <c r="B27" s="150"/>
      <c r="C27" s="150"/>
      <c r="D27" s="150"/>
      <c r="E27" s="151"/>
      <c r="F27" s="52" t="s">
        <v>31</v>
      </c>
      <c r="G27" s="53" t="s">
        <v>31</v>
      </c>
      <c r="H27" s="53" t="s">
        <v>31</v>
      </c>
      <c r="I27" s="54">
        <f>SUM(I21:I26)</f>
        <v>0</v>
      </c>
    </row>
    <row r="29" spans="1:9" ht="15.75" x14ac:dyDescent="0.25">
      <c r="A29" s="152" t="s">
        <v>150</v>
      </c>
      <c r="B29" s="153"/>
      <c r="C29" s="153"/>
      <c r="D29" s="153"/>
      <c r="E29" s="154"/>
      <c r="F29" s="155">
        <f>I18+I27</f>
        <v>0</v>
      </c>
      <c r="G29" s="156"/>
      <c r="H29" s="156"/>
      <c r="I29" s="157"/>
    </row>
    <row r="33" spans="1:9" ht="15.75" x14ac:dyDescent="0.25">
      <c r="A33" s="139" t="s">
        <v>151</v>
      </c>
      <c r="B33" s="139"/>
      <c r="C33" s="139"/>
      <c r="D33" s="139"/>
      <c r="E33" s="139"/>
    </row>
    <row r="34" spans="1:9" x14ac:dyDescent="0.25">
      <c r="A34" s="140" t="s">
        <v>152</v>
      </c>
      <c r="B34" s="141"/>
      <c r="C34" s="141"/>
      <c r="D34" s="141"/>
      <c r="E34" s="142"/>
      <c r="F34" s="47" t="s">
        <v>145</v>
      </c>
      <c r="G34" s="47" t="s">
        <v>146</v>
      </c>
      <c r="H34" s="47" t="s">
        <v>147</v>
      </c>
      <c r="I34" s="47" t="s">
        <v>145</v>
      </c>
    </row>
    <row r="35" spans="1:9" x14ac:dyDescent="0.25">
      <c r="A35" s="146" t="s">
        <v>31</v>
      </c>
      <c r="B35" s="147"/>
      <c r="C35" s="147"/>
      <c r="D35" s="147"/>
      <c r="E35" s="148"/>
      <c r="F35" s="50">
        <v>0</v>
      </c>
      <c r="G35" s="51" t="s">
        <v>31</v>
      </c>
      <c r="H35" s="51" t="s">
        <v>31</v>
      </c>
      <c r="I35" s="50">
        <f>F35</f>
        <v>0</v>
      </c>
    </row>
    <row r="36" spans="1:9" x14ac:dyDescent="0.25">
      <c r="A36" s="149" t="s">
        <v>153</v>
      </c>
      <c r="B36" s="150"/>
      <c r="C36" s="150"/>
      <c r="D36" s="150"/>
      <c r="E36" s="151"/>
      <c r="F36" s="52" t="s">
        <v>31</v>
      </c>
      <c r="G36" s="53" t="s">
        <v>31</v>
      </c>
      <c r="H36" s="53" t="s">
        <v>31</v>
      </c>
      <c r="I36" s="54">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A10:B11"/>
    <mergeCell ref="C2:D3"/>
    <mergeCell ref="C4:D5"/>
    <mergeCell ref="C6:D7"/>
    <mergeCell ref="C8:D9"/>
    <mergeCell ref="C10:D11"/>
    <mergeCell ref="E8:E9"/>
    <mergeCell ref="E10:E11"/>
    <mergeCell ref="F2:G3"/>
    <mergeCell ref="F4:G5"/>
    <mergeCell ref="F6:G7"/>
    <mergeCell ref="F8:G9"/>
    <mergeCell ref="F10:G11"/>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s>
  <pageMargins left="0.393999993801117" right="0.393999993801117" top="0.59100002050399802" bottom="0.59100002050399802" header="0" footer="0"/>
  <pageSetup fitToHeight="0"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33"/>
  <sheetViews>
    <sheetView workbookViewId="0">
      <pane ySplit="11" topLeftCell="A12" activePane="bottomLeft" state="frozen"/>
      <selection pane="bottomLeft" activeCell="A33" sqref="A33:P33"/>
    </sheetView>
  </sheetViews>
  <sheetFormatPr defaultColWidth="12.140625" defaultRowHeight="15" customHeight="1" x14ac:dyDescent="0.25"/>
  <cols>
    <col min="1" max="1" width="4" customWidth="1"/>
    <col min="2" max="2" width="7.5703125" customWidth="1"/>
    <col min="3" max="3" width="17.85546875" customWidth="1"/>
    <col min="4" max="4" width="42.85546875" customWidth="1"/>
    <col min="5" max="5" width="35.7109375" customWidth="1"/>
    <col min="6" max="6" width="4.28515625" customWidth="1"/>
    <col min="7" max="7" width="12.85546875" customWidth="1"/>
    <col min="8" max="8" width="12" customWidth="1"/>
    <col min="9" max="9" width="11.140625" customWidth="1"/>
    <col min="10" max="13" width="15.7109375" customWidth="1"/>
    <col min="14" max="15" width="11.7109375" customWidth="1"/>
    <col min="16" max="16" width="14" customWidth="1"/>
    <col min="25" max="75" width="12.140625" hidden="1"/>
    <col min="76" max="76" width="78.5703125" hidden="1" customWidth="1"/>
    <col min="77" max="78" width="12.140625" hidden="1"/>
  </cols>
  <sheetData>
    <row r="1" spans="1:76" ht="54.75" customHeight="1" x14ac:dyDescent="0.25">
      <c r="A1" s="87" t="s">
        <v>0</v>
      </c>
      <c r="B1" s="87"/>
      <c r="C1" s="87"/>
      <c r="D1" s="87"/>
      <c r="E1" s="87"/>
      <c r="F1" s="87"/>
      <c r="G1" s="87"/>
      <c r="H1" s="87"/>
      <c r="I1" s="87"/>
      <c r="J1" s="87"/>
      <c r="K1" s="87"/>
      <c r="L1" s="87"/>
      <c r="M1" s="87"/>
      <c r="N1" s="87"/>
      <c r="O1" s="87"/>
      <c r="P1" s="87"/>
      <c r="AS1" s="26">
        <f>SUM(AJ1:AJ2)</f>
        <v>0</v>
      </c>
      <c r="AT1" s="26">
        <f>SUM(AK1:AK2)</f>
        <v>0</v>
      </c>
      <c r="AU1" s="26">
        <f>SUM(AL1:AL2)</f>
        <v>0</v>
      </c>
    </row>
    <row r="2" spans="1:76" x14ac:dyDescent="0.25">
      <c r="A2" s="88" t="s">
        <v>1</v>
      </c>
      <c r="B2" s="89"/>
      <c r="C2" s="89"/>
      <c r="D2" s="95" t="s">
        <v>154</v>
      </c>
      <c r="E2" s="104"/>
      <c r="F2" s="89" t="s">
        <v>2</v>
      </c>
      <c r="G2" s="89"/>
      <c r="H2" s="89" t="s">
        <v>26</v>
      </c>
      <c r="I2" s="98" t="s">
        <v>3</v>
      </c>
      <c r="J2" s="89"/>
      <c r="K2" s="89" t="s">
        <v>155</v>
      </c>
      <c r="L2" s="89"/>
      <c r="M2" s="89"/>
      <c r="N2" s="89"/>
      <c r="O2" s="89"/>
      <c r="P2" s="99"/>
    </row>
    <row r="3" spans="1:76" x14ac:dyDescent="0.25">
      <c r="A3" s="90"/>
      <c r="B3" s="91"/>
      <c r="C3" s="91"/>
      <c r="D3" s="96"/>
      <c r="E3" s="96"/>
      <c r="F3" s="91"/>
      <c r="G3" s="91"/>
      <c r="H3" s="91"/>
      <c r="I3" s="91"/>
      <c r="J3" s="91"/>
      <c r="K3" s="91"/>
      <c r="L3" s="91"/>
      <c r="M3" s="91"/>
      <c r="N3" s="91"/>
      <c r="O3" s="91"/>
      <c r="P3" s="100"/>
    </row>
    <row r="4" spans="1:76" x14ac:dyDescent="0.25">
      <c r="A4" s="92" t="s">
        <v>4</v>
      </c>
      <c r="B4" s="91"/>
      <c r="C4" s="91"/>
      <c r="D4" s="97" t="s">
        <v>26</v>
      </c>
      <c r="E4" s="91"/>
      <c r="F4" s="91" t="s">
        <v>5</v>
      </c>
      <c r="G4" s="91"/>
      <c r="H4" s="91" t="s">
        <v>156</v>
      </c>
      <c r="I4" s="97" t="s">
        <v>6</v>
      </c>
      <c r="J4" s="91"/>
      <c r="K4" s="91" t="s">
        <v>155</v>
      </c>
      <c r="L4" s="91"/>
      <c r="M4" s="91"/>
      <c r="N4" s="91"/>
      <c r="O4" s="91"/>
      <c r="P4" s="100"/>
    </row>
    <row r="5" spans="1:76" x14ac:dyDescent="0.25">
      <c r="A5" s="90"/>
      <c r="B5" s="91"/>
      <c r="C5" s="91"/>
      <c r="D5" s="91"/>
      <c r="E5" s="91"/>
      <c r="F5" s="91"/>
      <c r="G5" s="91"/>
      <c r="H5" s="91"/>
      <c r="I5" s="91"/>
      <c r="J5" s="91"/>
      <c r="K5" s="91"/>
      <c r="L5" s="91"/>
      <c r="M5" s="91"/>
      <c r="N5" s="91"/>
      <c r="O5" s="91"/>
      <c r="P5" s="100"/>
    </row>
    <row r="6" spans="1:76" x14ac:dyDescent="0.25">
      <c r="A6" s="92" t="s">
        <v>7</v>
      </c>
      <c r="B6" s="91"/>
      <c r="C6" s="91"/>
      <c r="D6" s="97" t="s">
        <v>26</v>
      </c>
      <c r="E6" s="91"/>
      <c r="F6" s="91" t="s">
        <v>8</v>
      </c>
      <c r="G6" s="91"/>
      <c r="H6" s="91" t="s">
        <v>26</v>
      </c>
      <c r="I6" s="97" t="s">
        <v>9</v>
      </c>
      <c r="J6" s="91"/>
      <c r="K6" s="91" t="s">
        <v>155</v>
      </c>
      <c r="L6" s="91"/>
      <c r="M6" s="91"/>
      <c r="N6" s="91"/>
      <c r="O6" s="91"/>
      <c r="P6" s="100"/>
    </row>
    <row r="7" spans="1:76" x14ac:dyDescent="0.25">
      <c r="A7" s="90"/>
      <c r="B7" s="91"/>
      <c r="C7" s="91"/>
      <c r="D7" s="91"/>
      <c r="E7" s="91"/>
      <c r="F7" s="91"/>
      <c r="G7" s="91"/>
      <c r="H7" s="91"/>
      <c r="I7" s="91"/>
      <c r="J7" s="91"/>
      <c r="K7" s="91"/>
      <c r="L7" s="91"/>
      <c r="M7" s="91"/>
      <c r="N7" s="91"/>
      <c r="O7" s="91"/>
      <c r="P7" s="100"/>
    </row>
    <row r="8" spans="1:76" x14ac:dyDescent="0.25">
      <c r="A8" s="92" t="s">
        <v>10</v>
      </c>
      <c r="B8" s="91"/>
      <c r="C8" s="91"/>
      <c r="D8" s="97" t="s">
        <v>26</v>
      </c>
      <c r="E8" s="91"/>
      <c r="F8" s="91" t="s">
        <v>11</v>
      </c>
      <c r="G8" s="91"/>
      <c r="H8" s="91" t="s">
        <v>156</v>
      </c>
      <c r="I8" s="97" t="s">
        <v>12</v>
      </c>
      <c r="J8" s="91"/>
      <c r="K8" s="91" t="s">
        <v>155</v>
      </c>
      <c r="L8" s="91"/>
      <c r="M8" s="91"/>
      <c r="N8" s="91"/>
      <c r="O8" s="91"/>
      <c r="P8" s="100"/>
    </row>
    <row r="9" spans="1:76" x14ac:dyDescent="0.25">
      <c r="A9" s="158"/>
      <c r="B9" s="159"/>
      <c r="C9" s="159"/>
      <c r="D9" s="159"/>
      <c r="E9" s="159"/>
      <c r="F9" s="159"/>
      <c r="G9" s="159"/>
      <c r="H9" s="159"/>
      <c r="I9" s="159"/>
      <c r="J9" s="159"/>
      <c r="K9" s="159"/>
      <c r="L9" s="159"/>
      <c r="M9" s="159"/>
      <c r="N9" s="159"/>
      <c r="O9" s="159"/>
      <c r="P9" s="160"/>
    </row>
    <row r="10" spans="1:76" x14ac:dyDescent="0.25">
      <c r="A10" s="55" t="s">
        <v>13</v>
      </c>
      <c r="B10" s="56" t="s">
        <v>95</v>
      </c>
      <c r="C10" s="56" t="s">
        <v>14</v>
      </c>
      <c r="D10" s="161" t="s">
        <v>15</v>
      </c>
      <c r="E10" s="162"/>
      <c r="F10" s="56" t="s">
        <v>17</v>
      </c>
      <c r="G10" s="57" t="s">
        <v>19</v>
      </c>
      <c r="H10" s="58" t="s">
        <v>157</v>
      </c>
      <c r="I10" s="59" t="s">
        <v>158</v>
      </c>
      <c r="J10" s="165" t="s">
        <v>159</v>
      </c>
      <c r="K10" s="166"/>
      <c r="L10" s="167"/>
      <c r="M10" s="60" t="s">
        <v>159</v>
      </c>
      <c r="N10" s="168" t="s">
        <v>160</v>
      </c>
      <c r="O10" s="169"/>
      <c r="P10" s="61" t="s">
        <v>161</v>
      </c>
      <c r="BK10" s="25" t="s">
        <v>25</v>
      </c>
      <c r="BL10" s="62" t="s">
        <v>24</v>
      </c>
      <c r="BW10" s="62" t="s">
        <v>162</v>
      </c>
    </row>
    <row r="11" spans="1:76" x14ac:dyDescent="0.25">
      <c r="A11" s="63" t="s">
        <v>26</v>
      </c>
      <c r="B11" s="64" t="s">
        <v>26</v>
      </c>
      <c r="C11" s="64" t="s">
        <v>26</v>
      </c>
      <c r="D11" s="163" t="s">
        <v>18</v>
      </c>
      <c r="E11" s="164"/>
      <c r="F11" s="64" t="s">
        <v>26</v>
      </c>
      <c r="G11" s="64" t="s">
        <v>26</v>
      </c>
      <c r="H11" s="65" t="s">
        <v>163</v>
      </c>
      <c r="I11" s="66" t="s">
        <v>26</v>
      </c>
      <c r="J11" s="67" t="s">
        <v>164</v>
      </c>
      <c r="K11" s="68" t="s">
        <v>112</v>
      </c>
      <c r="L11" s="69" t="s">
        <v>165</v>
      </c>
      <c r="M11" s="70" t="s">
        <v>166</v>
      </c>
      <c r="N11" s="71" t="s">
        <v>167</v>
      </c>
      <c r="O11" s="72" t="s">
        <v>165</v>
      </c>
      <c r="P11" s="73" t="s">
        <v>168</v>
      </c>
      <c r="Z11" s="25" t="s">
        <v>169</v>
      </c>
      <c r="AA11" s="25" t="s">
        <v>170</v>
      </c>
      <c r="AB11" s="25" t="s">
        <v>171</v>
      </c>
      <c r="AC11" s="25" t="s">
        <v>172</v>
      </c>
      <c r="AD11" s="25" t="s">
        <v>173</v>
      </c>
      <c r="AE11" s="25" t="s">
        <v>174</v>
      </c>
      <c r="AF11" s="25" t="s">
        <v>175</v>
      </c>
      <c r="AG11" s="25" t="s">
        <v>176</v>
      </c>
      <c r="AH11" s="25" t="s">
        <v>177</v>
      </c>
      <c r="BH11" s="25" t="s">
        <v>178</v>
      </c>
      <c r="BI11" s="25" t="s">
        <v>179</v>
      </c>
      <c r="BJ11" s="25" t="s">
        <v>180</v>
      </c>
    </row>
    <row r="12" spans="1:76" x14ac:dyDescent="0.25">
      <c r="A12" s="74" t="s">
        <v>31</v>
      </c>
      <c r="B12" s="13" t="s">
        <v>31</v>
      </c>
      <c r="C12" s="13" t="s">
        <v>27</v>
      </c>
      <c r="D12" s="170" t="s">
        <v>28</v>
      </c>
      <c r="E12" s="171"/>
      <c r="F12" s="75" t="s">
        <v>26</v>
      </c>
      <c r="G12" s="75" t="s">
        <v>26</v>
      </c>
      <c r="H12" s="75" t="s">
        <v>26</v>
      </c>
      <c r="I12" s="75" t="s">
        <v>26</v>
      </c>
      <c r="J12" s="16">
        <f>SUM(J13:J14)</f>
        <v>0</v>
      </c>
      <c r="K12" s="16">
        <f>SUM(K13:K14)</f>
        <v>0</v>
      </c>
      <c r="L12" s="16">
        <f>SUM(L13:L14)</f>
        <v>0</v>
      </c>
      <c r="M12" s="16">
        <f>SUM(M13:M14)</f>
        <v>0</v>
      </c>
      <c r="N12" s="15" t="s">
        <v>31</v>
      </c>
      <c r="O12" s="16">
        <f>SUM(O13:O14)</f>
        <v>4.0763500000000001E-2</v>
      </c>
      <c r="P12" s="76" t="s">
        <v>31</v>
      </c>
      <c r="AI12" s="25" t="s">
        <v>31</v>
      </c>
      <c r="AS12" s="26">
        <f>SUM(AJ13:AJ14)</f>
        <v>0</v>
      </c>
      <c r="AT12" s="26">
        <f>SUM(AK13:AK14)</f>
        <v>0</v>
      </c>
      <c r="AU12" s="26">
        <f>SUM(AL13:AL14)</f>
        <v>0</v>
      </c>
    </row>
    <row r="13" spans="1:76" ht="25.5" x14ac:dyDescent="0.25">
      <c r="A13" s="1" t="s">
        <v>181</v>
      </c>
      <c r="B13" s="2" t="s">
        <v>31</v>
      </c>
      <c r="C13" s="2" t="s">
        <v>29</v>
      </c>
      <c r="D13" s="97" t="s">
        <v>30</v>
      </c>
      <c r="E13" s="91"/>
      <c r="F13" s="2" t="s">
        <v>32</v>
      </c>
      <c r="G13" s="19">
        <f>'Rozpočet - vybrané sloupce'!G12</f>
        <v>53.2</v>
      </c>
      <c r="H13" s="19">
        <f>'Rozpočet - vybrané sloupce'!H12</f>
        <v>0</v>
      </c>
      <c r="I13" s="77" t="s">
        <v>182</v>
      </c>
      <c r="J13" s="19">
        <f>G13*AO13</f>
        <v>0</v>
      </c>
      <c r="K13" s="19">
        <f>G13*AP13</f>
        <v>0</v>
      </c>
      <c r="L13" s="19">
        <f>G13*H13</f>
        <v>0</v>
      </c>
      <c r="M13" s="19">
        <f>L13*(1+BW13/100)</f>
        <v>0</v>
      </c>
      <c r="N13" s="19">
        <v>6.4999999999999997E-4</v>
      </c>
      <c r="O13" s="19">
        <f>G13*N13</f>
        <v>3.458E-2</v>
      </c>
      <c r="P13" s="78" t="s">
        <v>34</v>
      </c>
      <c r="Z13" s="19">
        <f>IF(AQ13="5",BJ13,0)</f>
        <v>0</v>
      </c>
      <c r="AB13" s="19">
        <f>IF(AQ13="1",BH13,0)</f>
        <v>0</v>
      </c>
      <c r="AC13" s="19">
        <f>IF(AQ13="1",BI13,0)</f>
        <v>0</v>
      </c>
      <c r="AD13" s="19">
        <f>IF(AQ13="7",BH13,0)</f>
        <v>0</v>
      </c>
      <c r="AE13" s="19">
        <f>IF(AQ13="7",BI13,0)</f>
        <v>0</v>
      </c>
      <c r="AF13" s="19">
        <f>IF(AQ13="2",BH13,0)</f>
        <v>0</v>
      </c>
      <c r="AG13" s="19">
        <f>IF(AQ13="2",BI13,0)</f>
        <v>0</v>
      </c>
      <c r="AH13" s="19">
        <f>IF(AQ13="0",BJ13,0)</f>
        <v>0</v>
      </c>
      <c r="AI13" s="25" t="s">
        <v>31</v>
      </c>
      <c r="AJ13" s="19">
        <f>IF(AN13=0,L13,0)</f>
        <v>0</v>
      </c>
      <c r="AK13" s="19">
        <f>IF(AN13=12,L13,0)</f>
        <v>0</v>
      </c>
      <c r="AL13" s="19">
        <f>IF(AN13=21,L13,0)</f>
        <v>0</v>
      </c>
      <c r="AN13" s="19">
        <v>21</v>
      </c>
      <c r="AO13" s="19">
        <f>H13*0.696245383</f>
        <v>0</v>
      </c>
      <c r="AP13" s="19">
        <f>H13*(1-0.696245383)</f>
        <v>0</v>
      </c>
      <c r="AQ13" s="77" t="s">
        <v>181</v>
      </c>
      <c r="AV13" s="19">
        <f>AW13+AX13</f>
        <v>0</v>
      </c>
      <c r="AW13" s="19">
        <f>G13*AO13</f>
        <v>0</v>
      </c>
      <c r="AX13" s="19">
        <f>G13*AP13</f>
        <v>0</v>
      </c>
      <c r="AY13" s="77" t="s">
        <v>183</v>
      </c>
      <c r="AZ13" s="77" t="s">
        <v>184</v>
      </c>
      <c r="BA13" s="25" t="s">
        <v>185</v>
      </c>
      <c r="BC13" s="19">
        <f>AW13+AX13</f>
        <v>0</v>
      </c>
      <c r="BD13" s="19">
        <f>H13/(100-BE13)*100</f>
        <v>0</v>
      </c>
      <c r="BE13" s="19">
        <v>0</v>
      </c>
      <c r="BF13" s="19">
        <f>O13</f>
        <v>3.458E-2</v>
      </c>
      <c r="BH13" s="19">
        <f>G13*AO13</f>
        <v>0</v>
      </c>
      <c r="BI13" s="19">
        <f>G13*AP13</f>
        <v>0</v>
      </c>
      <c r="BJ13" s="19">
        <f>G13*H13</f>
        <v>0</v>
      </c>
      <c r="BK13" s="19"/>
      <c r="BL13" s="19">
        <v>28</v>
      </c>
      <c r="BW13" s="19" t="str">
        <f>I13</f>
        <v>21</v>
      </c>
      <c r="BX13" s="5" t="s">
        <v>30</v>
      </c>
    </row>
    <row r="14" spans="1:76" ht="25.5" x14ac:dyDescent="0.25">
      <c r="A14" s="1" t="s">
        <v>186</v>
      </c>
      <c r="B14" s="2" t="s">
        <v>31</v>
      </c>
      <c r="C14" s="2" t="s">
        <v>37</v>
      </c>
      <c r="D14" s="97" t="s">
        <v>38</v>
      </c>
      <c r="E14" s="91"/>
      <c r="F14" s="2" t="s">
        <v>32</v>
      </c>
      <c r="G14" s="19">
        <f>'Rozpočet - vybrané sloupce'!G14</f>
        <v>7.45</v>
      </c>
      <c r="H14" s="19">
        <f>'Rozpočet - vybrané sloupce'!H14</f>
        <v>0</v>
      </c>
      <c r="I14" s="77" t="s">
        <v>182</v>
      </c>
      <c r="J14" s="19">
        <f>G14*AO14</f>
        <v>0</v>
      </c>
      <c r="K14" s="19">
        <f>G14*AP14</f>
        <v>0</v>
      </c>
      <c r="L14" s="19">
        <f>G14*H14</f>
        <v>0</v>
      </c>
      <c r="M14" s="19">
        <f>L14*(1+BW14/100)</f>
        <v>0</v>
      </c>
      <c r="N14" s="19">
        <v>8.3000000000000001E-4</v>
      </c>
      <c r="O14" s="19">
        <f>G14*N14</f>
        <v>6.1835000000000006E-3</v>
      </c>
      <c r="P14" s="78" t="s">
        <v>34</v>
      </c>
      <c r="Z14" s="19">
        <f>IF(AQ14="5",BJ14,0)</f>
        <v>0</v>
      </c>
      <c r="AB14" s="19">
        <f>IF(AQ14="1",BH14,0)</f>
        <v>0</v>
      </c>
      <c r="AC14" s="19">
        <f>IF(AQ14="1",BI14,0)</f>
        <v>0</v>
      </c>
      <c r="AD14" s="19">
        <f>IF(AQ14="7",BH14,0)</f>
        <v>0</v>
      </c>
      <c r="AE14" s="19">
        <f>IF(AQ14="7",BI14,0)</f>
        <v>0</v>
      </c>
      <c r="AF14" s="19">
        <f>IF(AQ14="2",BH14,0)</f>
        <v>0</v>
      </c>
      <c r="AG14" s="19">
        <f>IF(AQ14="2",BI14,0)</f>
        <v>0</v>
      </c>
      <c r="AH14" s="19">
        <f>IF(AQ14="0",BJ14,0)</f>
        <v>0</v>
      </c>
      <c r="AI14" s="25" t="s">
        <v>31</v>
      </c>
      <c r="AJ14" s="19">
        <f>IF(AN14=0,L14,0)</f>
        <v>0</v>
      </c>
      <c r="AK14" s="19">
        <f>IF(AN14=12,L14,0)</f>
        <v>0</v>
      </c>
      <c r="AL14" s="19">
        <f>IF(AN14=21,L14,0)</f>
        <v>0</v>
      </c>
      <c r="AN14" s="19">
        <v>21</v>
      </c>
      <c r="AO14" s="19">
        <f>H14*0.739093555</f>
        <v>0</v>
      </c>
      <c r="AP14" s="19">
        <f>H14*(1-0.739093555)</f>
        <v>0</v>
      </c>
      <c r="AQ14" s="77" t="s">
        <v>181</v>
      </c>
      <c r="AV14" s="19">
        <f>AW14+AX14</f>
        <v>0</v>
      </c>
      <c r="AW14" s="19">
        <f>G14*AO14</f>
        <v>0</v>
      </c>
      <c r="AX14" s="19">
        <f>G14*AP14</f>
        <v>0</v>
      </c>
      <c r="AY14" s="77" t="s">
        <v>183</v>
      </c>
      <c r="AZ14" s="77" t="s">
        <v>184</v>
      </c>
      <c r="BA14" s="25" t="s">
        <v>185</v>
      </c>
      <c r="BC14" s="19">
        <f>AW14+AX14</f>
        <v>0</v>
      </c>
      <c r="BD14" s="19">
        <f>H14/(100-BE14)*100</f>
        <v>0</v>
      </c>
      <c r="BE14" s="19">
        <v>0</v>
      </c>
      <c r="BF14" s="19">
        <f>O14</f>
        <v>6.1835000000000006E-3</v>
      </c>
      <c r="BH14" s="19">
        <f>G14*AO14</f>
        <v>0</v>
      </c>
      <c r="BI14" s="19">
        <f>G14*AP14</f>
        <v>0</v>
      </c>
      <c r="BJ14" s="19">
        <f>G14*H14</f>
        <v>0</v>
      </c>
      <c r="BK14" s="19"/>
      <c r="BL14" s="19">
        <v>28</v>
      </c>
      <c r="BW14" s="19" t="str">
        <f>I14</f>
        <v>21</v>
      </c>
      <c r="BX14" s="5" t="s">
        <v>38</v>
      </c>
    </row>
    <row r="15" spans="1:76" x14ac:dyDescent="0.25">
      <c r="A15" s="79" t="s">
        <v>31</v>
      </c>
      <c r="B15" s="23" t="s">
        <v>31</v>
      </c>
      <c r="C15" s="23" t="s">
        <v>40</v>
      </c>
      <c r="D15" s="172" t="s">
        <v>41</v>
      </c>
      <c r="E15" s="173"/>
      <c r="F15" s="80" t="s">
        <v>26</v>
      </c>
      <c r="G15" s="80" t="s">
        <v>26</v>
      </c>
      <c r="H15" s="80" t="s">
        <v>26</v>
      </c>
      <c r="I15" s="80" t="s">
        <v>26</v>
      </c>
      <c r="J15" s="26">
        <f>SUM(J16:J18)</f>
        <v>0</v>
      </c>
      <c r="K15" s="26">
        <f>SUM(K16:K18)</f>
        <v>0</v>
      </c>
      <c r="L15" s="26">
        <f>SUM(L16:L18)</f>
        <v>0</v>
      </c>
      <c r="M15" s="26">
        <f>SUM(M16:M18)</f>
        <v>0</v>
      </c>
      <c r="N15" s="25" t="s">
        <v>31</v>
      </c>
      <c r="O15" s="26">
        <f>SUM(O16:O18)</f>
        <v>0.28725500000000004</v>
      </c>
      <c r="P15" s="81" t="s">
        <v>31</v>
      </c>
      <c r="AI15" s="25" t="s">
        <v>31</v>
      </c>
      <c r="AS15" s="26">
        <f>SUM(AJ16:AJ18)</f>
        <v>0</v>
      </c>
      <c r="AT15" s="26">
        <f>SUM(AK16:AK18)</f>
        <v>0</v>
      </c>
      <c r="AU15" s="26">
        <f>SUM(AL16:AL18)</f>
        <v>0</v>
      </c>
    </row>
    <row r="16" spans="1:76" x14ac:dyDescent="0.25">
      <c r="A16" s="1" t="s">
        <v>187</v>
      </c>
      <c r="B16" s="2" t="s">
        <v>31</v>
      </c>
      <c r="C16" s="2" t="s">
        <v>42</v>
      </c>
      <c r="D16" s="97" t="s">
        <v>43</v>
      </c>
      <c r="E16" s="91"/>
      <c r="F16" s="2" t="s">
        <v>45</v>
      </c>
      <c r="G16" s="19">
        <f>'Rozpočet - vybrané sloupce'!G17</f>
        <v>22.19</v>
      </c>
      <c r="H16" s="19">
        <f>'Rozpočet - vybrané sloupce'!H17</f>
        <v>0</v>
      </c>
      <c r="I16" s="77" t="s">
        <v>182</v>
      </c>
      <c r="J16" s="19">
        <f>G16*AO16</f>
        <v>0</v>
      </c>
      <c r="K16" s="19">
        <f>G16*AP16</f>
        <v>0</v>
      </c>
      <c r="L16" s="19">
        <f>G16*H16</f>
        <v>0</v>
      </c>
      <c r="M16" s="19">
        <f>L16*(1+BW16/100)</f>
        <v>0</v>
      </c>
      <c r="N16" s="19">
        <v>1.0500000000000001E-2</v>
      </c>
      <c r="O16" s="19">
        <f>G16*N16</f>
        <v>0.23299500000000004</v>
      </c>
      <c r="P16" s="78" t="s">
        <v>34</v>
      </c>
      <c r="Z16" s="19">
        <f>IF(AQ16="5",BJ16,0)</f>
        <v>0</v>
      </c>
      <c r="AB16" s="19">
        <f>IF(AQ16="1",BH16,0)</f>
        <v>0</v>
      </c>
      <c r="AC16" s="19">
        <f>IF(AQ16="1",BI16,0)</f>
        <v>0</v>
      </c>
      <c r="AD16" s="19">
        <f>IF(AQ16="7",BH16,0)</f>
        <v>0</v>
      </c>
      <c r="AE16" s="19">
        <f>IF(AQ16="7",BI16,0)</f>
        <v>0</v>
      </c>
      <c r="AF16" s="19">
        <f>IF(AQ16="2",BH16,0)</f>
        <v>0</v>
      </c>
      <c r="AG16" s="19">
        <f>IF(AQ16="2",BI16,0)</f>
        <v>0</v>
      </c>
      <c r="AH16" s="19">
        <f>IF(AQ16="0",BJ16,0)</f>
        <v>0</v>
      </c>
      <c r="AI16" s="25" t="s">
        <v>31</v>
      </c>
      <c r="AJ16" s="19">
        <f>IF(AN16=0,L16,0)</f>
        <v>0</v>
      </c>
      <c r="AK16" s="19">
        <f>IF(AN16=12,L16,0)</f>
        <v>0</v>
      </c>
      <c r="AL16" s="19">
        <f>IF(AN16=21,L16,0)</f>
        <v>0</v>
      </c>
      <c r="AN16" s="19">
        <v>21</v>
      </c>
      <c r="AO16" s="19">
        <f>H16*0.755220547</f>
        <v>0</v>
      </c>
      <c r="AP16" s="19">
        <f>H16*(1-0.755220547)</f>
        <v>0</v>
      </c>
      <c r="AQ16" s="77" t="s">
        <v>181</v>
      </c>
      <c r="AV16" s="19">
        <f>AW16+AX16</f>
        <v>0</v>
      </c>
      <c r="AW16" s="19">
        <f>G16*AO16</f>
        <v>0</v>
      </c>
      <c r="AX16" s="19">
        <f>G16*AP16</f>
        <v>0</v>
      </c>
      <c r="AY16" s="77" t="s">
        <v>188</v>
      </c>
      <c r="AZ16" s="77" t="s">
        <v>189</v>
      </c>
      <c r="BA16" s="25" t="s">
        <v>185</v>
      </c>
      <c r="BC16" s="19">
        <f>AW16+AX16</f>
        <v>0</v>
      </c>
      <c r="BD16" s="19">
        <f>H16/(100-BE16)*100</f>
        <v>0</v>
      </c>
      <c r="BE16" s="19">
        <v>0</v>
      </c>
      <c r="BF16" s="19">
        <f>O16</f>
        <v>0.23299500000000004</v>
      </c>
      <c r="BH16" s="19">
        <f>G16*AO16</f>
        <v>0</v>
      </c>
      <c r="BI16" s="19">
        <f>G16*AP16</f>
        <v>0</v>
      </c>
      <c r="BJ16" s="19">
        <f>G16*H16</f>
        <v>0</v>
      </c>
      <c r="BK16" s="19"/>
      <c r="BL16" s="19">
        <v>31</v>
      </c>
      <c r="BW16" s="19" t="str">
        <f>I16</f>
        <v>21</v>
      </c>
      <c r="BX16" s="5" t="s">
        <v>43</v>
      </c>
    </row>
    <row r="17" spans="1:76" x14ac:dyDescent="0.25">
      <c r="A17" s="1" t="s">
        <v>190</v>
      </c>
      <c r="B17" s="2" t="s">
        <v>31</v>
      </c>
      <c r="C17" s="2" t="s">
        <v>49</v>
      </c>
      <c r="D17" s="97" t="s">
        <v>50</v>
      </c>
      <c r="E17" s="91"/>
      <c r="F17" s="2" t="s">
        <v>32</v>
      </c>
      <c r="G17" s="19">
        <f>'Rozpočet - vybrané sloupce'!G20</f>
        <v>26.45</v>
      </c>
      <c r="H17" s="19">
        <f>'Rozpočet - vybrané sloupce'!H20</f>
        <v>0</v>
      </c>
      <c r="I17" s="77" t="s">
        <v>182</v>
      </c>
      <c r="J17" s="19">
        <f>G17*AO17</f>
        <v>0</v>
      </c>
      <c r="K17" s="19">
        <f>G17*AP17</f>
        <v>0</v>
      </c>
      <c r="L17" s="19">
        <f>G17*H17</f>
        <v>0</v>
      </c>
      <c r="M17" s="19">
        <f>L17*(1+BW17/100)</f>
        <v>0</v>
      </c>
      <c r="N17" s="19">
        <v>4.0000000000000002E-4</v>
      </c>
      <c r="O17" s="19">
        <f>G17*N17</f>
        <v>1.0580000000000001E-2</v>
      </c>
      <c r="P17" s="78" t="s">
        <v>34</v>
      </c>
      <c r="Z17" s="19">
        <f>IF(AQ17="5",BJ17,0)</f>
        <v>0</v>
      </c>
      <c r="AB17" s="19">
        <f>IF(AQ17="1",BH17,0)</f>
        <v>0</v>
      </c>
      <c r="AC17" s="19">
        <f>IF(AQ17="1",BI17,0)</f>
        <v>0</v>
      </c>
      <c r="AD17" s="19">
        <f>IF(AQ17="7",BH17,0)</f>
        <v>0</v>
      </c>
      <c r="AE17" s="19">
        <f>IF(AQ17="7",BI17,0)</f>
        <v>0</v>
      </c>
      <c r="AF17" s="19">
        <f>IF(AQ17="2",BH17,0)</f>
        <v>0</v>
      </c>
      <c r="AG17" s="19">
        <f>IF(AQ17="2",BI17,0)</f>
        <v>0</v>
      </c>
      <c r="AH17" s="19">
        <f>IF(AQ17="0",BJ17,0)</f>
        <v>0</v>
      </c>
      <c r="AI17" s="25" t="s">
        <v>31</v>
      </c>
      <c r="AJ17" s="19">
        <f>IF(AN17=0,L17,0)</f>
        <v>0</v>
      </c>
      <c r="AK17" s="19">
        <f>IF(AN17=12,L17,0)</f>
        <v>0</v>
      </c>
      <c r="AL17" s="19">
        <f>IF(AN17=21,L17,0)</f>
        <v>0</v>
      </c>
      <c r="AN17" s="19">
        <v>21</v>
      </c>
      <c r="AO17" s="19">
        <f>H17*0.157179656</f>
        <v>0</v>
      </c>
      <c r="AP17" s="19">
        <f>H17*(1-0.157179656)</f>
        <v>0</v>
      </c>
      <c r="AQ17" s="77" t="s">
        <v>181</v>
      </c>
      <c r="AV17" s="19">
        <f>AW17+AX17</f>
        <v>0</v>
      </c>
      <c r="AW17" s="19">
        <f>G17*AO17</f>
        <v>0</v>
      </c>
      <c r="AX17" s="19">
        <f>G17*AP17</f>
        <v>0</v>
      </c>
      <c r="AY17" s="77" t="s">
        <v>188</v>
      </c>
      <c r="AZ17" s="77" t="s">
        <v>189</v>
      </c>
      <c r="BA17" s="25" t="s">
        <v>185</v>
      </c>
      <c r="BC17" s="19">
        <f>AW17+AX17</f>
        <v>0</v>
      </c>
      <c r="BD17" s="19">
        <f>H17/(100-BE17)*100</f>
        <v>0</v>
      </c>
      <c r="BE17" s="19">
        <v>0</v>
      </c>
      <c r="BF17" s="19">
        <f>O17</f>
        <v>1.0580000000000001E-2</v>
      </c>
      <c r="BH17" s="19">
        <f>G17*AO17</f>
        <v>0</v>
      </c>
      <c r="BI17" s="19">
        <f>G17*AP17</f>
        <v>0</v>
      </c>
      <c r="BJ17" s="19">
        <f>G17*H17</f>
        <v>0</v>
      </c>
      <c r="BK17" s="19"/>
      <c r="BL17" s="19">
        <v>31</v>
      </c>
      <c r="BW17" s="19" t="str">
        <f>I17</f>
        <v>21</v>
      </c>
      <c r="BX17" s="5" t="s">
        <v>50</v>
      </c>
    </row>
    <row r="18" spans="1:76" x14ac:dyDescent="0.25">
      <c r="A18" s="1" t="s">
        <v>191</v>
      </c>
      <c r="B18" s="2" t="s">
        <v>31</v>
      </c>
      <c r="C18" s="2" t="s">
        <v>52</v>
      </c>
      <c r="D18" s="97" t="s">
        <v>53</v>
      </c>
      <c r="E18" s="91"/>
      <c r="F18" s="2" t="s">
        <v>32</v>
      </c>
      <c r="G18" s="19">
        <f>'Rozpočet - vybrané sloupce'!G22</f>
        <v>27.3</v>
      </c>
      <c r="H18" s="19">
        <f>'Rozpočet - vybrané sloupce'!H22</f>
        <v>0</v>
      </c>
      <c r="I18" s="77" t="s">
        <v>182</v>
      </c>
      <c r="J18" s="19">
        <f>G18*AO18</f>
        <v>0</v>
      </c>
      <c r="K18" s="19">
        <f>G18*AP18</f>
        <v>0</v>
      </c>
      <c r="L18" s="19">
        <f>G18*H18</f>
        <v>0</v>
      </c>
      <c r="M18" s="19">
        <f>L18*(1+BW18/100)</f>
        <v>0</v>
      </c>
      <c r="N18" s="19">
        <v>1.6000000000000001E-3</v>
      </c>
      <c r="O18" s="19">
        <f>G18*N18</f>
        <v>4.3680000000000004E-2</v>
      </c>
      <c r="P18" s="78" t="s">
        <v>34</v>
      </c>
      <c r="Z18" s="19">
        <f>IF(AQ18="5",BJ18,0)</f>
        <v>0</v>
      </c>
      <c r="AB18" s="19">
        <f>IF(AQ18="1",BH18,0)</f>
        <v>0</v>
      </c>
      <c r="AC18" s="19">
        <f>IF(AQ18="1",BI18,0)</f>
        <v>0</v>
      </c>
      <c r="AD18" s="19">
        <f>IF(AQ18="7",BH18,0)</f>
        <v>0</v>
      </c>
      <c r="AE18" s="19">
        <f>IF(AQ18="7",BI18,0)</f>
        <v>0</v>
      </c>
      <c r="AF18" s="19">
        <f>IF(AQ18="2",BH18,0)</f>
        <v>0</v>
      </c>
      <c r="AG18" s="19">
        <f>IF(AQ18="2",BI18,0)</f>
        <v>0</v>
      </c>
      <c r="AH18" s="19">
        <f>IF(AQ18="0",BJ18,0)</f>
        <v>0</v>
      </c>
      <c r="AI18" s="25" t="s">
        <v>31</v>
      </c>
      <c r="AJ18" s="19">
        <f>IF(AN18=0,L18,0)</f>
        <v>0</v>
      </c>
      <c r="AK18" s="19">
        <f>IF(AN18=12,L18,0)</f>
        <v>0</v>
      </c>
      <c r="AL18" s="19">
        <f>IF(AN18=21,L18,0)</f>
        <v>0</v>
      </c>
      <c r="AN18" s="19">
        <v>21</v>
      </c>
      <c r="AO18" s="19">
        <f>H18*0.415931308</f>
        <v>0</v>
      </c>
      <c r="AP18" s="19">
        <f>H18*(1-0.415931308)</f>
        <v>0</v>
      </c>
      <c r="AQ18" s="77" t="s">
        <v>181</v>
      </c>
      <c r="AV18" s="19">
        <f>AW18+AX18</f>
        <v>0</v>
      </c>
      <c r="AW18" s="19">
        <f>G18*AO18</f>
        <v>0</v>
      </c>
      <c r="AX18" s="19">
        <f>G18*AP18</f>
        <v>0</v>
      </c>
      <c r="AY18" s="77" t="s">
        <v>188</v>
      </c>
      <c r="AZ18" s="77" t="s">
        <v>189</v>
      </c>
      <c r="BA18" s="25" t="s">
        <v>185</v>
      </c>
      <c r="BC18" s="19">
        <f>AW18+AX18</f>
        <v>0</v>
      </c>
      <c r="BD18" s="19">
        <f>H18/(100-BE18)*100</f>
        <v>0</v>
      </c>
      <c r="BE18" s="19">
        <v>0</v>
      </c>
      <c r="BF18" s="19">
        <f>O18</f>
        <v>4.3680000000000004E-2</v>
      </c>
      <c r="BH18" s="19">
        <f>G18*AO18</f>
        <v>0</v>
      </c>
      <c r="BI18" s="19">
        <f>G18*AP18</f>
        <v>0</v>
      </c>
      <c r="BJ18" s="19">
        <f>G18*H18</f>
        <v>0</v>
      </c>
      <c r="BK18" s="19"/>
      <c r="BL18" s="19">
        <v>31</v>
      </c>
      <c r="BW18" s="19" t="str">
        <f>I18</f>
        <v>21</v>
      </c>
      <c r="BX18" s="5" t="s">
        <v>53</v>
      </c>
    </row>
    <row r="19" spans="1:76" x14ac:dyDescent="0.25">
      <c r="A19" s="79" t="s">
        <v>31</v>
      </c>
      <c r="B19" s="23" t="s">
        <v>31</v>
      </c>
      <c r="C19" s="23" t="s">
        <v>55</v>
      </c>
      <c r="D19" s="172" t="s">
        <v>56</v>
      </c>
      <c r="E19" s="173"/>
      <c r="F19" s="80" t="s">
        <v>26</v>
      </c>
      <c r="G19" s="80" t="s">
        <v>26</v>
      </c>
      <c r="H19" s="80" t="s">
        <v>26</v>
      </c>
      <c r="I19" s="80" t="s">
        <v>26</v>
      </c>
      <c r="J19" s="26">
        <f>SUM(J20:J23)</f>
        <v>0</v>
      </c>
      <c r="K19" s="26">
        <f>SUM(K20:K23)</f>
        <v>0</v>
      </c>
      <c r="L19" s="26">
        <f>SUM(L20:L23)</f>
        <v>0</v>
      </c>
      <c r="M19" s="26">
        <f>SUM(M20:M23)</f>
        <v>0</v>
      </c>
      <c r="N19" s="25" t="s">
        <v>31</v>
      </c>
      <c r="O19" s="26">
        <f>SUM(O20:O23)</f>
        <v>1.3014167999999999</v>
      </c>
      <c r="P19" s="81" t="s">
        <v>31</v>
      </c>
      <c r="AI19" s="25" t="s">
        <v>31</v>
      </c>
      <c r="AS19" s="26">
        <f>SUM(AJ20:AJ23)</f>
        <v>0</v>
      </c>
      <c r="AT19" s="26">
        <f>SUM(AK20:AK23)</f>
        <v>0</v>
      </c>
      <c r="AU19" s="26">
        <f>SUM(AL20:AL23)</f>
        <v>0</v>
      </c>
    </row>
    <row r="20" spans="1:76" x14ac:dyDescent="0.25">
      <c r="A20" s="1" t="s">
        <v>192</v>
      </c>
      <c r="B20" s="2" t="s">
        <v>31</v>
      </c>
      <c r="C20" s="2" t="s">
        <v>57</v>
      </c>
      <c r="D20" s="97" t="s">
        <v>58</v>
      </c>
      <c r="E20" s="91"/>
      <c r="F20" s="2" t="s">
        <v>45</v>
      </c>
      <c r="G20" s="19">
        <f>'Rozpočet - vybrané sloupce'!G25</f>
        <v>28.45</v>
      </c>
      <c r="H20" s="19">
        <f>'Rozpočet - vybrané sloupce'!H25</f>
        <v>0</v>
      </c>
      <c r="I20" s="77" t="s">
        <v>182</v>
      </c>
      <c r="J20" s="19">
        <f>G20*AO20</f>
        <v>0</v>
      </c>
      <c r="K20" s="19">
        <f>G20*AP20</f>
        <v>0</v>
      </c>
      <c r="L20" s="19">
        <f>G20*H20</f>
        <v>0</v>
      </c>
      <c r="M20" s="19">
        <f>L20*(1+BW20/100)</f>
        <v>0</v>
      </c>
      <c r="N20" s="19">
        <v>5.1200000000000004E-3</v>
      </c>
      <c r="O20" s="19">
        <f>G20*N20</f>
        <v>0.14566400000000002</v>
      </c>
      <c r="P20" s="78" t="s">
        <v>34</v>
      </c>
      <c r="Z20" s="19">
        <f>IF(AQ20="5",BJ20,0)</f>
        <v>0</v>
      </c>
      <c r="AB20" s="19">
        <f>IF(AQ20="1",BH20,0)</f>
        <v>0</v>
      </c>
      <c r="AC20" s="19">
        <f>IF(AQ20="1",BI20,0)</f>
        <v>0</v>
      </c>
      <c r="AD20" s="19">
        <f>IF(AQ20="7",BH20,0)</f>
        <v>0</v>
      </c>
      <c r="AE20" s="19">
        <f>IF(AQ20="7",BI20,0)</f>
        <v>0</v>
      </c>
      <c r="AF20" s="19">
        <f>IF(AQ20="2",BH20,0)</f>
        <v>0</v>
      </c>
      <c r="AG20" s="19">
        <f>IF(AQ20="2",BI20,0)</f>
        <v>0</v>
      </c>
      <c r="AH20" s="19">
        <f>IF(AQ20="0",BJ20,0)</f>
        <v>0</v>
      </c>
      <c r="AI20" s="25" t="s">
        <v>31</v>
      </c>
      <c r="AJ20" s="19">
        <f>IF(AN20=0,L20,0)</f>
        <v>0</v>
      </c>
      <c r="AK20" s="19">
        <f>IF(AN20=12,L20,0)</f>
        <v>0</v>
      </c>
      <c r="AL20" s="19">
        <f>IF(AN20=21,L20,0)</f>
        <v>0</v>
      </c>
      <c r="AN20" s="19">
        <v>21</v>
      </c>
      <c r="AO20" s="19">
        <f>H20*0.774357122</f>
        <v>0</v>
      </c>
      <c r="AP20" s="19">
        <f>H20*(1-0.774357122)</f>
        <v>0</v>
      </c>
      <c r="AQ20" s="77" t="s">
        <v>181</v>
      </c>
      <c r="AV20" s="19">
        <f>AW20+AX20</f>
        <v>0</v>
      </c>
      <c r="AW20" s="19">
        <f>G20*AO20</f>
        <v>0</v>
      </c>
      <c r="AX20" s="19">
        <f>G20*AP20</f>
        <v>0</v>
      </c>
      <c r="AY20" s="77" t="s">
        <v>193</v>
      </c>
      <c r="AZ20" s="77" t="s">
        <v>194</v>
      </c>
      <c r="BA20" s="25" t="s">
        <v>185</v>
      </c>
      <c r="BC20" s="19">
        <f>AW20+AX20</f>
        <v>0</v>
      </c>
      <c r="BD20" s="19">
        <f>H20/(100-BE20)*100</f>
        <v>0</v>
      </c>
      <c r="BE20" s="19">
        <v>0</v>
      </c>
      <c r="BF20" s="19">
        <f>O20</f>
        <v>0.14566400000000002</v>
      </c>
      <c r="BH20" s="19">
        <f>G20*AO20</f>
        <v>0</v>
      </c>
      <c r="BI20" s="19">
        <f>G20*AP20</f>
        <v>0</v>
      </c>
      <c r="BJ20" s="19">
        <f>G20*H20</f>
        <v>0</v>
      </c>
      <c r="BK20" s="19"/>
      <c r="BL20" s="19">
        <v>60</v>
      </c>
      <c r="BW20" s="19" t="str">
        <f>I20</f>
        <v>21</v>
      </c>
      <c r="BX20" s="5" t="s">
        <v>58</v>
      </c>
    </row>
    <row r="21" spans="1:76" x14ac:dyDescent="0.25">
      <c r="A21" s="1" t="s">
        <v>195</v>
      </c>
      <c r="B21" s="2" t="s">
        <v>31</v>
      </c>
      <c r="C21" s="2" t="s">
        <v>62</v>
      </c>
      <c r="D21" s="97" t="s">
        <v>63</v>
      </c>
      <c r="E21" s="91"/>
      <c r="F21" s="2" t="s">
        <v>45</v>
      </c>
      <c r="G21" s="19">
        <f>'Rozpočet - vybrané sloupce'!G27</f>
        <v>28.45</v>
      </c>
      <c r="H21" s="19">
        <f>'Rozpočet - vybrané sloupce'!H27</f>
        <v>0</v>
      </c>
      <c r="I21" s="77" t="s">
        <v>182</v>
      </c>
      <c r="J21" s="19">
        <f>G21*AO21</f>
        <v>0</v>
      </c>
      <c r="K21" s="19">
        <f>G21*AP21</f>
        <v>0</v>
      </c>
      <c r="L21" s="19">
        <f>G21*H21</f>
        <v>0</v>
      </c>
      <c r="M21" s="19">
        <f>L21*(1+BW21/100)</f>
        <v>0</v>
      </c>
      <c r="N21" s="19">
        <v>3.175E-2</v>
      </c>
      <c r="O21" s="19">
        <f>G21*N21</f>
        <v>0.90328750000000002</v>
      </c>
      <c r="P21" s="78" t="s">
        <v>34</v>
      </c>
      <c r="Z21" s="19">
        <f>IF(AQ21="5",BJ21,0)</f>
        <v>0</v>
      </c>
      <c r="AB21" s="19">
        <f>IF(AQ21="1",BH21,0)</f>
        <v>0</v>
      </c>
      <c r="AC21" s="19">
        <f>IF(AQ21="1",BI21,0)</f>
        <v>0</v>
      </c>
      <c r="AD21" s="19">
        <f>IF(AQ21="7",BH21,0)</f>
        <v>0</v>
      </c>
      <c r="AE21" s="19">
        <f>IF(AQ21="7",BI21,0)</f>
        <v>0</v>
      </c>
      <c r="AF21" s="19">
        <f>IF(AQ21="2",BH21,0)</f>
        <v>0</v>
      </c>
      <c r="AG21" s="19">
        <f>IF(AQ21="2",BI21,0)</f>
        <v>0</v>
      </c>
      <c r="AH21" s="19">
        <f>IF(AQ21="0",BJ21,0)</f>
        <v>0</v>
      </c>
      <c r="AI21" s="25" t="s">
        <v>31</v>
      </c>
      <c r="AJ21" s="19">
        <f>IF(AN21=0,L21,0)</f>
        <v>0</v>
      </c>
      <c r="AK21" s="19">
        <f>IF(AN21=12,L21,0)</f>
        <v>0</v>
      </c>
      <c r="AL21" s="19">
        <f>IF(AN21=21,L21,0)</f>
        <v>0</v>
      </c>
      <c r="AN21" s="19">
        <v>21</v>
      </c>
      <c r="AO21" s="19">
        <f>H21*0.791618399</f>
        <v>0</v>
      </c>
      <c r="AP21" s="19">
        <f>H21*(1-0.791618399)</f>
        <v>0</v>
      </c>
      <c r="AQ21" s="77" t="s">
        <v>181</v>
      </c>
      <c r="AV21" s="19">
        <f>AW21+AX21</f>
        <v>0</v>
      </c>
      <c r="AW21" s="19">
        <f>G21*AO21</f>
        <v>0</v>
      </c>
      <c r="AX21" s="19">
        <f>G21*AP21</f>
        <v>0</v>
      </c>
      <c r="AY21" s="77" t="s">
        <v>193</v>
      </c>
      <c r="AZ21" s="77" t="s">
        <v>194</v>
      </c>
      <c r="BA21" s="25" t="s">
        <v>185</v>
      </c>
      <c r="BC21" s="19">
        <f>AW21+AX21</f>
        <v>0</v>
      </c>
      <c r="BD21" s="19">
        <f>H21/(100-BE21)*100</f>
        <v>0</v>
      </c>
      <c r="BE21" s="19">
        <v>0</v>
      </c>
      <c r="BF21" s="19">
        <f>O21</f>
        <v>0.90328750000000002</v>
      </c>
      <c r="BH21" s="19">
        <f>G21*AO21</f>
        <v>0</v>
      </c>
      <c r="BI21" s="19">
        <f>G21*AP21</f>
        <v>0</v>
      </c>
      <c r="BJ21" s="19">
        <f>G21*H21</f>
        <v>0</v>
      </c>
      <c r="BK21" s="19"/>
      <c r="BL21" s="19">
        <v>60</v>
      </c>
      <c r="BW21" s="19" t="str">
        <f>I21</f>
        <v>21</v>
      </c>
      <c r="BX21" s="5" t="s">
        <v>63</v>
      </c>
    </row>
    <row r="22" spans="1:76" x14ac:dyDescent="0.25">
      <c r="A22" s="1" t="s">
        <v>196</v>
      </c>
      <c r="B22" s="2" t="s">
        <v>31</v>
      </c>
      <c r="C22" s="2" t="s">
        <v>66</v>
      </c>
      <c r="D22" s="97" t="s">
        <v>67</v>
      </c>
      <c r="E22" s="91"/>
      <c r="F22" s="2" t="s">
        <v>45</v>
      </c>
      <c r="G22" s="19">
        <f>'Rozpočet - vybrané sloupce'!G28</f>
        <v>28.45</v>
      </c>
      <c r="H22" s="19">
        <f>'Rozpočet - vybrané sloupce'!H28</f>
        <v>0</v>
      </c>
      <c r="I22" s="77" t="s">
        <v>182</v>
      </c>
      <c r="J22" s="19">
        <f>G22*AO22</f>
        <v>0</v>
      </c>
      <c r="K22" s="19">
        <f>G22*AP22</f>
        <v>0</v>
      </c>
      <c r="L22" s="19">
        <f>G22*H22</f>
        <v>0</v>
      </c>
      <c r="M22" s="19">
        <f>L22*(1+BW22/100)</f>
        <v>0</v>
      </c>
      <c r="N22" s="19">
        <v>4.64E-3</v>
      </c>
      <c r="O22" s="19">
        <f>G22*N22</f>
        <v>0.13200799999999999</v>
      </c>
      <c r="P22" s="78" t="s">
        <v>34</v>
      </c>
      <c r="Z22" s="19">
        <f>IF(AQ22="5",BJ22,0)</f>
        <v>0</v>
      </c>
      <c r="AB22" s="19">
        <f>IF(AQ22="1",BH22,0)</f>
        <v>0</v>
      </c>
      <c r="AC22" s="19">
        <f>IF(AQ22="1",BI22,0)</f>
        <v>0</v>
      </c>
      <c r="AD22" s="19">
        <f>IF(AQ22="7",BH22,0)</f>
        <v>0</v>
      </c>
      <c r="AE22" s="19">
        <f>IF(AQ22="7",BI22,0)</f>
        <v>0</v>
      </c>
      <c r="AF22" s="19">
        <f>IF(AQ22="2",BH22,0)</f>
        <v>0</v>
      </c>
      <c r="AG22" s="19">
        <f>IF(AQ22="2",BI22,0)</f>
        <v>0</v>
      </c>
      <c r="AH22" s="19">
        <f>IF(AQ22="0",BJ22,0)</f>
        <v>0</v>
      </c>
      <c r="AI22" s="25" t="s">
        <v>31</v>
      </c>
      <c r="AJ22" s="19">
        <f>IF(AN22=0,L22,0)</f>
        <v>0</v>
      </c>
      <c r="AK22" s="19">
        <f>IF(AN22=12,L22,0)</f>
        <v>0</v>
      </c>
      <c r="AL22" s="19">
        <f>IF(AN22=21,L22,0)</f>
        <v>0</v>
      </c>
      <c r="AN22" s="19">
        <v>21</v>
      </c>
      <c r="AO22" s="19">
        <f>H22*0.567967742</f>
        <v>0</v>
      </c>
      <c r="AP22" s="19">
        <f>H22*(1-0.567967742)</f>
        <v>0</v>
      </c>
      <c r="AQ22" s="77" t="s">
        <v>181</v>
      </c>
      <c r="AV22" s="19">
        <f>AW22+AX22</f>
        <v>0</v>
      </c>
      <c r="AW22" s="19">
        <f>G22*AO22</f>
        <v>0</v>
      </c>
      <c r="AX22" s="19">
        <f>G22*AP22</f>
        <v>0</v>
      </c>
      <c r="AY22" s="77" t="s">
        <v>193</v>
      </c>
      <c r="AZ22" s="77" t="s">
        <v>194</v>
      </c>
      <c r="BA22" s="25" t="s">
        <v>185</v>
      </c>
      <c r="BC22" s="19">
        <f>AW22+AX22</f>
        <v>0</v>
      </c>
      <c r="BD22" s="19">
        <f>H22/(100-BE22)*100</f>
        <v>0</v>
      </c>
      <c r="BE22" s="19">
        <v>0</v>
      </c>
      <c r="BF22" s="19">
        <f>O22</f>
        <v>0.13200799999999999</v>
      </c>
      <c r="BH22" s="19">
        <f>G22*AO22</f>
        <v>0</v>
      </c>
      <c r="BI22" s="19">
        <f>G22*AP22</f>
        <v>0</v>
      </c>
      <c r="BJ22" s="19">
        <f>G22*H22</f>
        <v>0</v>
      </c>
      <c r="BK22" s="19"/>
      <c r="BL22" s="19">
        <v>60</v>
      </c>
      <c r="BW22" s="19" t="str">
        <f>I22</f>
        <v>21</v>
      </c>
      <c r="BX22" s="5" t="s">
        <v>67</v>
      </c>
    </row>
    <row r="23" spans="1:76" x14ac:dyDescent="0.25">
      <c r="A23" s="1" t="s">
        <v>197</v>
      </c>
      <c r="B23" s="2" t="s">
        <v>31</v>
      </c>
      <c r="C23" s="2" t="s">
        <v>68</v>
      </c>
      <c r="D23" s="97" t="s">
        <v>69</v>
      </c>
      <c r="E23" s="91"/>
      <c r="F23" s="2" t="s">
        <v>45</v>
      </c>
      <c r="G23" s="19">
        <f>'Rozpočet - vybrané sloupce'!G29</f>
        <v>5.69</v>
      </c>
      <c r="H23" s="19">
        <f>'Rozpočet - vybrané sloupce'!H29</f>
        <v>0</v>
      </c>
      <c r="I23" s="77" t="s">
        <v>182</v>
      </c>
      <c r="J23" s="19">
        <f>G23*AO23</f>
        <v>0</v>
      </c>
      <c r="K23" s="19">
        <f>G23*AP23</f>
        <v>0</v>
      </c>
      <c r="L23" s="19">
        <f>G23*H23</f>
        <v>0</v>
      </c>
      <c r="M23" s="19">
        <f>L23*(1+BW23/100)</f>
        <v>0</v>
      </c>
      <c r="N23" s="19">
        <v>2.1170000000000001E-2</v>
      </c>
      <c r="O23" s="19">
        <f>G23*N23</f>
        <v>0.12045730000000002</v>
      </c>
      <c r="P23" s="78" t="s">
        <v>34</v>
      </c>
      <c r="Z23" s="19">
        <f>IF(AQ23="5",BJ23,0)</f>
        <v>0</v>
      </c>
      <c r="AB23" s="19">
        <f>IF(AQ23="1",BH23,0)</f>
        <v>0</v>
      </c>
      <c r="AC23" s="19">
        <f>IF(AQ23="1",BI23,0)</f>
        <v>0</v>
      </c>
      <c r="AD23" s="19">
        <f>IF(AQ23="7",BH23,0)</f>
        <v>0</v>
      </c>
      <c r="AE23" s="19">
        <f>IF(AQ23="7",BI23,0)</f>
        <v>0</v>
      </c>
      <c r="AF23" s="19">
        <f>IF(AQ23="2",BH23,0)</f>
        <v>0</v>
      </c>
      <c r="AG23" s="19">
        <f>IF(AQ23="2",BI23,0)</f>
        <v>0</v>
      </c>
      <c r="AH23" s="19">
        <f>IF(AQ23="0",BJ23,0)</f>
        <v>0</v>
      </c>
      <c r="AI23" s="25" t="s">
        <v>31</v>
      </c>
      <c r="AJ23" s="19">
        <f>IF(AN23=0,L23,0)</f>
        <v>0</v>
      </c>
      <c r="AK23" s="19">
        <f>IF(AN23=12,L23,0)</f>
        <v>0</v>
      </c>
      <c r="AL23" s="19">
        <f>IF(AN23=21,L23,0)</f>
        <v>0</v>
      </c>
      <c r="AN23" s="19">
        <v>21</v>
      </c>
      <c r="AO23" s="19">
        <f>H23*0.770028861</f>
        <v>0</v>
      </c>
      <c r="AP23" s="19">
        <f>H23*(1-0.770028861)</f>
        <v>0</v>
      </c>
      <c r="AQ23" s="77" t="s">
        <v>181</v>
      </c>
      <c r="AV23" s="19">
        <f>AW23+AX23</f>
        <v>0</v>
      </c>
      <c r="AW23" s="19">
        <f>G23*AO23</f>
        <v>0</v>
      </c>
      <c r="AX23" s="19">
        <f>G23*AP23</f>
        <v>0</v>
      </c>
      <c r="AY23" s="77" t="s">
        <v>193</v>
      </c>
      <c r="AZ23" s="77" t="s">
        <v>194</v>
      </c>
      <c r="BA23" s="25" t="s">
        <v>185</v>
      </c>
      <c r="BC23" s="19">
        <f>AW23+AX23</f>
        <v>0</v>
      </c>
      <c r="BD23" s="19">
        <f>H23/(100-BE23)*100</f>
        <v>0</v>
      </c>
      <c r="BE23" s="19">
        <v>0</v>
      </c>
      <c r="BF23" s="19">
        <f>O23</f>
        <v>0.12045730000000002</v>
      </c>
      <c r="BH23" s="19">
        <f>G23*AO23</f>
        <v>0</v>
      </c>
      <c r="BI23" s="19">
        <f>G23*AP23</f>
        <v>0</v>
      </c>
      <c r="BJ23" s="19">
        <f>G23*H23</f>
        <v>0</v>
      </c>
      <c r="BK23" s="19"/>
      <c r="BL23" s="19">
        <v>60</v>
      </c>
      <c r="BW23" s="19" t="str">
        <f>I23</f>
        <v>21</v>
      </c>
      <c r="BX23" s="5" t="s">
        <v>69</v>
      </c>
    </row>
    <row r="24" spans="1:76" x14ac:dyDescent="0.25">
      <c r="A24" s="79" t="s">
        <v>31</v>
      </c>
      <c r="B24" s="23" t="s">
        <v>31</v>
      </c>
      <c r="C24" s="23" t="s">
        <v>73</v>
      </c>
      <c r="D24" s="172" t="s">
        <v>74</v>
      </c>
      <c r="E24" s="173"/>
      <c r="F24" s="80" t="s">
        <v>26</v>
      </c>
      <c r="G24" s="80" t="s">
        <v>26</v>
      </c>
      <c r="H24" s="80" t="s">
        <v>26</v>
      </c>
      <c r="I24" s="80" t="s">
        <v>26</v>
      </c>
      <c r="J24" s="26">
        <f>SUM(J25:J26)</f>
        <v>0</v>
      </c>
      <c r="K24" s="26">
        <f>SUM(K25:K26)</f>
        <v>0</v>
      </c>
      <c r="L24" s="26">
        <f>SUM(L25:L26)</f>
        <v>0</v>
      </c>
      <c r="M24" s="26">
        <f>SUM(M25:M26)</f>
        <v>0</v>
      </c>
      <c r="N24" s="25" t="s">
        <v>31</v>
      </c>
      <c r="O24" s="26">
        <f>SUM(O25:O26)</f>
        <v>1.4225E-2</v>
      </c>
      <c r="P24" s="81" t="s">
        <v>31</v>
      </c>
      <c r="AI24" s="25" t="s">
        <v>31</v>
      </c>
      <c r="AS24" s="26">
        <f>SUM(AJ25:AJ26)</f>
        <v>0</v>
      </c>
      <c r="AT24" s="26">
        <f>SUM(AK25:AK26)</f>
        <v>0</v>
      </c>
      <c r="AU24" s="26">
        <f>SUM(AL25:AL26)</f>
        <v>0</v>
      </c>
    </row>
    <row r="25" spans="1:76" x14ac:dyDescent="0.25">
      <c r="A25" s="1" t="s">
        <v>198</v>
      </c>
      <c r="B25" s="2" t="s">
        <v>31</v>
      </c>
      <c r="C25" s="2" t="s">
        <v>75</v>
      </c>
      <c r="D25" s="97" t="s">
        <v>76</v>
      </c>
      <c r="E25" s="91"/>
      <c r="F25" s="2" t="s">
        <v>45</v>
      </c>
      <c r="G25" s="19">
        <f>'Rozpočet - vybrané sloupce'!G32</f>
        <v>28.45</v>
      </c>
      <c r="H25" s="19">
        <f>'Rozpočet - vybrané sloupce'!H32</f>
        <v>0</v>
      </c>
      <c r="I25" s="77" t="s">
        <v>182</v>
      </c>
      <c r="J25" s="19">
        <f>G25*AO25</f>
        <v>0</v>
      </c>
      <c r="K25" s="19">
        <f>G25*AP25</f>
        <v>0</v>
      </c>
      <c r="L25" s="19">
        <f>G25*H25</f>
        <v>0</v>
      </c>
      <c r="M25" s="19">
        <f>L25*(1+BW25/100)</f>
        <v>0</v>
      </c>
      <c r="N25" s="19">
        <v>5.0000000000000001E-4</v>
      </c>
      <c r="O25" s="19">
        <f>G25*N25</f>
        <v>1.4225E-2</v>
      </c>
      <c r="P25" s="78" t="s">
        <v>34</v>
      </c>
      <c r="Z25" s="19">
        <f>IF(AQ25="5",BJ25,0)</f>
        <v>0</v>
      </c>
      <c r="AB25" s="19">
        <f>IF(AQ25="1",BH25,0)</f>
        <v>0</v>
      </c>
      <c r="AC25" s="19">
        <f>IF(AQ25="1",BI25,0)</f>
        <v>0</v>
      </c>
      <c r="AD25" s="19">
        <f>IF(AQ25="7",BH25,0)</f>
        <v>0</v>
      </c>
      <c r="AE25" s="19">
        <f>IF(AQ25="7",BI25,0)</f>
        <v>0</v>
      </c>
      <c r="AF25" s="19">
        <f>IF(AQ25="2",BH25,0)</f>
        <v>0</v>
      </c>
      <c r="AG25" s="19">
        <f>IF(AQ25="2",BI25,0)</f>
        <v>0</v>
      </c>
      <c r="AH25" s="19">
        <f>IF(AQ25="0",BJ25,0)</f>
        <v>0</v>
      </c>
      <c r="AI25" s="25" t="s">
        <v>31</v>
      </c>
      <c r="AJ25" s="19">
        <f>IF(AN25=0,L25,0)</f>
        <v>0</v>
      </c>
      <c r="AK25" s="19">
        <f>IF(AN25=12,L25,0)</f>
        <v>0</v>
      </c>
      <c r="AL25" s="19">
        <f>IF(AN25=21,L25,0)</f>
        <v>0</v>
      </c>
      <c r="AN25" s="19">
        <v>21</v>
      </c>
      <c r="AO25" s="19">
        <f>H25*0.750735152</f>
        <v>0</v>
      </c>
      <c r="AP25" s="19">
        <f>H25*(1-0.750735152)</f>
        <v>0</v>
      </c>
      <c r="AQ25" s="77" t="s">
        <v>181</v>
      </c>
      <c r="AV25" s="19">
        <f>AW25+AX25</f>
        <v>0</v>
      </c>
      <c r="AW25" s="19">
        <f>G25*AO25</f>
        <v>0</v>
      </c>
      <c r="AX25" s="19">
        <f>G25*AP25</f>
        <v>0</v>
      </c>
      <c r="AY25" s="77" t="s">
        <v>199</v>
      </c>
      <c r="AZ25" s="77" t="s">
        <v>194</v>
      </c>
      <c r="BA25" s="25" t="s">
        <v>185</v>
      </c>
      <c r="BC25" s="19">
        <f>AW25+AX25</f>
        <v>0</v>
      </c>
      <c r="BD25" s="19">
        <f>H25/(100-BE25)*100</f>
        <v>0</v>
      </c>
      <c r="BE25" s="19">
        <v>0</v>
      </c>
      <c r="BF25" s="19">
        <f>O25</f>
        <v>1.4225E-2</v>
      </c>
      <c r="BH25" s="19">
        <f>G25*AO25</f>
        <v>0</v>
      </c>
      <c r="BI25" s="19">
        <f>G25*AP25</f>
        <v>0</v>
      </c>
      <c r="BJ25" s="19">
        <f>G25*H25</f>
        <v>0</v>
      </c>
      <c r="BK25" s="19"/>
      <c r="BL25" s="19">
        <v>62</v>
      </c>
      <c r="BW25" s="19" t="str">
        <f>I25</f>
        <v>21</v>
      </c>
      <c r="BX25" s="5" t="s">
        <v>76</v>
      </c>
    </row>
    <row r="26" spans="1:76" x14ac:dyDescent="0.25">
      <c r="A26" s="1" t="s">
        <v>200</v>
      </c>
      <c r="B26" s="2" t="s">
        <v>31</v>
      </c>
      <c r="C26" s="2" t="s">
        <v>79</v>
      </c>
      <c r="D26" s="97" t="s">
        <v>80</v>
      </c>
      <c r="E26" s="91"/>
      <c r="F26" s="2" t="s">
        <v>45</v>
      </c>
      <c r="G26" s="19">
        <f>'Rozpočet - vybrané sloupce'!G34</f>
        <v>28.45</v>
      </c>
      <c r="H26" s="19">
        <f>'Rozpočet - vybrané sloupce'!H34</f>
        <v>0</v>
      </c>
      <c r="I26" s="77" t="s">
        <v>182</v>
      </c>
      <c r="J26" s="19">
        <f>G26*AO26</f>
        <v>0</v>
      </c>
      <c r="K26" s="19">
        <f>G26*AP26</f>
        <v>0</v>
      </c>
      <c r="L26" s="19">
        <f>G26*H26</f>
        <v>0</v>
      </c>
      <c r="M26" s="19">
        <f>L26*(1+BW26/100)</f>
        <v>0</v>
      </c>
      <c r="N26" s="19">
        <v>0</v>
      </c>
      <c r="O26" s="19">
        <f>G26*N26</f>
        <v>0</v>
      </c>
      <c r="P26" s="78" t="s">
        <v>34</v>
      </c>
      <c r="Z26" s="19">
        <f>IF(AQ26="5",BJ26,0)</f>
        <v>0</v>
      </c>
      <c r="AB26" s="19">
        <f>IF(AQ26="1",BH26,0)</f>
        <v>0</v>
      </c>
      <c r="AC26" s="19">
        <f>IF(AQ26="1",BI26,0)</f>
        <v>0</v>
      </c>
      <c r="AD26" s="19">
        <f>IF(AQ26="7",BH26,0)</f>
        <v>0</v>
      </c>
      <c r="AE26" s="19">
        <f>IF(AQ26="7",BI26,0)</f>
        <v>0</v>
      </c>
      <c r="AF26" s="19">
        <f>IF(AQ26="2",BH26,0)</f>
        <v>0</v>
      </c>
      <c r="AG26" s="19">
        <f>IF(AQ26="2",BI26,0)</f>
        <v>0</v>
      </c>
      <c r="AH26" s="19">
        <f>IF(AQ26="0",BJ26,0)</f>
        <v>0</v>
      </c>
      <c r="AI26" s="25" t="s">
        <v>31</v>
      </c>
      <c r="AJ26" s="19">
        <f>IF(AN26=0,L26,0)</f>
        <v>0</v>
      </c>
      <c r="AK26" s="19">
        <f>IF(AN26=12,L26,0)</f>
        <v>0</v>
      </c>
      <c r="AL26" s="19">
        <f>IF(AN26=21,L26,0)</f>
        <v>0</v>
      </c>
      <c r="AN26" s="19">
        <v>21</v>
      </c>
      <c r="AO26" s="19">
        <f>H26*0</f>
        <v>0</v>
      </c>
      <c r="AP26" s="19">
        <f>H26*(1-0)</f>
        <v>0</v>
      </c>
      <c r="AQ26" s="77" t="s">
        <v>181</v>
      </c>
      <c r="AV26" s="19">
        <f>AW26+AX26</f>
        <v>0</v>
      </c>
      <c r="AW26" s="19">
        <f>G26*AO26</f>
        <v>0</v>
      </c>
      <c r="AX26" s="19">
        <f>G26*AP26</f>
        <v>0</v>
      </c>
      <c r="AY26" s="77" t="s">
        <v>199</v>
      </c>
      <c r="AZ26" s="77" t="s">
        <v>194</v>
      </c>
      <c r="BA26" s="25" t="s">
        <v>185</v>
      </c>
      <c r="BC26" s="19">
        <f>AW26+AX26</f>
        <v>0</v>
      </c>
      <c r="BD26" s="19">
        <f>H26/(100-BE26)*100</f>
        <v>0</v>
      </c>
      <c r="BE26" s="19">
        <v>0</v>
      </c>
      <c r="BF26" s="19">
        <f>O26</f>
        <v>0</v>
      </c>
      <c r="BH26" s="19">
        <f>G26*AO26</f>
        <v>0</v>
      </c>
      <c r="BI26" s="19">
        <f>G26*AP26</f>
        <v>0</v>
      </c>
      <c r="BJ26" s="19">
        <f>G26*H26</f>
        <v>0</v>
      </c>
      <c r="BK26" s="19"/>
      <c r="BL26" s="19">
        <v>62</v>
      </c>
      <c r="BW26" s="19" t="str">
        <f>I26</f>
        <v>21</v>
      </c>
      <c r="BX26" s="5" t="s">
        <v>80</v>
      </c>
    </row>
    <row r="27" spans="1:76" x14ac:dyDescent="0.25">
      <c r="A27" s="79" t="s">
        <v>31</v>
      </c>
      <c r="B27" s="23" t="s">
        <v>31</v>
      </c>
      <c r="C27" s="23" t="s">
        <v>83</v>
      </c>
      <c r="D27" s="172" t="s">
        <v>84</v>
      </c>
      <c r="E27" s="173"/>
      <c r="F27" s="80" t="s">
        <v>26</v>
      </c>
      <c r="G27" s="80" t="s">
        <v>26</v>
      </c>
      <c r="H27" s="80" t="s">
        <v>26</v>
      </c>
      <c r="I27" s="80" t="s">
        <v>26</v>
      </c>
      <c r="J27" s="26">
        <f>SUM(J28:J28)</f>
        <v>0</v>
      </c>
      <c r="K27" s="26">
        <f>SUM(K28:K28)</f>
        <v>0</v>
      </c>
      <c r="L27" s="26">
        <f>SUM(L28:L28)</f>
        <v>0</v>
      </c>
      <c r="M27" s="26">
        <f>SUM(M28:M28)</f>
        <v>0</v>
      </c>
      <c r="N27" s="25" t="s">
        <v>31</v>
      </c>
      <c r="O27" s="26">
        <f>SUM(O28:O28)</f>
        <v>8.38782E-2</v>
      </c>
      <c r="P27" s="81" t="s">
        <v>31</v>
      </c>
      <c r="AI27" s="25" t="s">
        <v>31</v>
      </c>
      <c r="AS27" s="26">
        <f>SUM(AJ28:AJ28)</f>
        <v>0</v>
      </c>
      <c r="AT27" s="26">
        <f>SUM(AK28:AK28)</f>
        <v>0</v>
      </c>
      <c r="AU27" s="26">
        <f>SUM(AL28:AL28)</f>
        <v>0</v>
      </c>
    </row>
    <row r="28" spans="1:76" x14ac:dyDescent="0.25">
      <c r="A28" s="1" t="s">
        <v>201</v>
      </c>
      <c r="B28" s="2" t="s">
        <v>31</v>
      </c>
      <c r="C28" s="2" t="s">
        <v>85</v>
      </c>
      <c r="D28" s="97" t="s">
        <v>86</v>
      </c>
      <c r="E28" s="91"/>
      <c r="F28" s="2" t="s">
        <v>45</v>
      </c>
      <c r="G28" s="19">
        <f>'Rozpočet - vybrané sloupce'!G37</f>
        <v>22.19</v>
      </c>
      <c r="H28" s="19">
        <f>'Rozpočet - vybrané sloupce'!H37</f>
        <v>0</v>
      </c>
      <c r="I28" s="77" t="s">
        <v>182</v>
      </c>
      <c r="J28" s="19">
        <f>G28*AO28</f>
        <v>0</v>
      </c>
      <c r="K28" s="19">
        <f>G28*AP28</f>
        <v>0</v>
      </c>
      <c r="L28" s="19">
        <f>G28*H28</f>
        <v>0</v>
      </c>
      <c r="M28" s="19">
        <f>L28*(1+BW28/100)</f>
        <v>0</v>
      </c>
      <c r="N28" s="19">
        <v>3.7799999999999999E-3</v>
      </c>
      <c r="O28" s="19">
        <f>G28*N28</f>
        <v>8.38782E-2</v>
      </c>
      <c r="P28" s="78" t="s">
        <v>34</v>
      </c>
      <c r="Z28" s="19">
        <f>IF(AQ28="5",BJ28,0)</f>
        <v>0</v>
      </c>
      <c r="AB28" s="19">
        <f>IF(AQ28="1",BH28,0)</f>
        <v>0</v>
      </c>
      <c r="AC28" s="19">
        <f>IF(AQ28="1",BI28,0)</f>
        <v>0</v>
      </c>
      <c r="AD28" s="19">
        <f>IF(AQ28="7",BH28,0)</f>
        <v>0</v>
      </c>
      <c r="AE28" s="19">
        <f>IF(AQ28="7",BI28,0)</f>
        <v>0</v>
      </c>
      <c r="AF28" s="19">
        <f>IF(AQ28="2",BH28,0)</f>
        <v>0</v>
      </c>
      <c r="AG28" s="19">
        <f>IF(AQ28="2",BI28,0)</f>
        <v>0</v>
      </c>
      <c r="AH28" s="19">
        <f>IF(AQ28="0",BJ28,0)</f>
        <v>0</v>
      </c>
      <c r="AI28" s="25" t="s">
        <v>31</v>
      </c>
      <c r="AJ28" s="19">
        <f>IF(AN28=0,L28,0)</f>
        <v>0</v>
      </c>
      <c r="AK28" s="19">
        <f>IF(AN28=12,L28,0)</f>
        <v>0</v>
      </c>
      <c r="AL28" s="19">
        <f>IF(AN28=21,L28,0)</f>
        <v>0</v>
      </c>
      <c r="AN28" s="19">
        <v>21</v>
      </c>
      <c r="AO28" s="19">
        <f>H28*0.729829655</f>
        <v>0</v>
      </c>
      <c r="AP28" s="19">
        <f>H28*(1-0.729829655)</f>
        <v>0</v>
      </c>
      <c r="AQ28" s="77" t="s">
        <v>195</v>
      </c>
      <c r="AV28" s="19">
        <f>AW28+AX28</f>
        <v>0</v>
      </c>
      <c r="AW28" s="19">
        <f>G28*AO28</f>
        <v>0</v>
      </c>
      <c r="AX28" s="19">
        <f>G28*AP28</f>
        <v>0</v>
      </c>
      <c r="AY28" s="77" t="s">
        <v>202</v>
      </c>
      <c r="AZ28" s="77" t="s">
        <v>203</v>
      </c>
      <c r="BA28" s="25" t="s">
        <v>185</v>
      </c>
      <c r="BC28" s="19">
        <f>AW28+AX28</f>
        <v>0</v>
      </c>
      <c r="BD28" s="19">
        <f>H28/(100-BE28)*100</f>
        <v>0</v>
      </c>
      <c r="BE28" s="19">
        <v>0</v>
      </c>
      <c r="BF28" s="19">
        <f>O28</f>
        <v>8.38782E-2</v>
      </c>
      <c r="BH28" s="19">
        <f>G28*AO28</f>
        <v>0</v>
      </c>
      <c r="BI28" s="19">
        <f>G28*AP28</f>
        <v>0</v>
      </c>
      <c r="BJ28" s="19">
        <f>G28*H28</f>
        <v>0</v>
      </c>
      <c r="BK28" s="19"/>
      <c r="BL28" s="19">
        <v>711</v>
      </c>
      <c r="BW28" s="19" t="str">
        <f>I28</f>
        <v>21</v>
      </c>
      <c r="BX28" s="5" t="s">
        <v>86</v>
      </c>
    </row>
    <row r="29" spans="1:76" x14ac:dyDescent="0.25">
      <c r="A29" s="79" t="s">
        <v>31</v>
      </c>
      <c r="B29" s="23" t="s">
        <v>31</v>
      </c>
      <c r="C29" s="23" t="s">
        <v>89</v>
      </c>
      <c r="D29" s="172" t="s">
        <v>90</v>
      </c>
      <c r="E29" s="173"/>
      <c r="F29" s="80" t="s">
        <v>26</v>
      </c>
      <c r="G29" s="80" t="s">
        <v>26</v>
      </c>
      <c r="H29" s="80" t="s">
        <v>26</v>
      </c>
      <c r="I29" s="80" t="s">
        <v>26</v>
      </c>
      <c r="J29" s="26">
        <f>SUM(J30:J30)</f>
        <v>0</v>
      </c>
      <c r="K29" s="26">
        <f>SUM(K30:K30)</f>
        <v>0</v>
      </c>
      <c r="L29" s="26">
        <f>SUM(L30:L30)</f>
        <v>0</v>
      </c>
      <c r="M29" s="26">
        <f>SUM(M30:M30)</f>
        <v>0</v>
      </c>
      <c r="N29" s="25" t="s">
        <v>31</v>
      </c>
      <c r="O29" s="26">
        <f>SUM(O30:O30)</f>
        <v>1.3087</v>
      </c>
      <c r="P29" s="81" t="s">
        <v>31</v>
      </c>
      <c r="AI29" s="25" t="s">
        <v>31</v>
      </c>
      <c r="AS29" s="26">
        <f>SUM(AJ30:AJ30)</f>
        <v>0</v>
      </c>
      <c r="AT29" s="26">
        <f>SUM(AK30:AK30)</f>
        <v>0</v>
      </c>
      <c r="AU29" s="26">
        <f>SUM(AL30:AL30)</f>
        <v>0</v>
      </c>
    </row>
    <row r="30" spans="1:76" x14ac:dyDescent="0.25">
      <c r="A30" s="6" t="s">
        <v>204</v>
      </c>
      <c r="B30" s="7" t="s">
        <v>31</v>
      </c>
      <c r="C30" s="7" t="s">
        <v>91</v>
      </c>
      <c r="D30" s="174" t="s">
        <v>92</v>
      </c>
      <c r="E30" s="94"/>
      <c r="F30" s="7" t="s">
        <v>45</v>
      </c>
      <c r="G30" s="30">
        <f>'Rozpočet - vybrané sloupce'!G41</f>
        <v>28.45</v>
      </c>
      <c r="H30" s="30">
        <f>'Rozpočet - vybrané sloupce'!H41</f>
        <v>0</v>
      </c>
      <c r="I30" s="82" t="s">
        <v>182</v>
      </c>
      <c r="J30" s="30">
        <f>G30*AO30</f>
        <v>0</v>
      </c>
      <c r="K30" s="30">
        <f>G30*AP30</f>
        <v>0</v>
      </c>
      <c r="L30" s="30">
        <f>G30*H30</f>
        <v>0</v>
      </c>
      <c r="M30" s="30">
        <f>L30*(1+BW30/100)</f>
        <v>0</v>
      </c>
      <c r="N30" s="30">
        <v>4.5999999999999999E-2</v>
      </c>
      <c r="O30" s="30">
        <f>G30*N30</f>
        <v>1.3087</v>
      </c>
      <c r="P30" s="83" t="s">
        <v>34</v>
      </c>
      <c r="Z30" s="19">
        <f>IF(AQ30="5",BJ30,0)</f>
        <v>0</v>
      </c>
      <c r="AB30" s="19">
        <f>IF(AQ30="1",BH30,0)</f>
        <v>0</v>
      </c>
      <c r="AC30" s="19">
        <f>IF(AQ30="1",BI30,0)</f>
        <v>0</v>
      </c>
      <c r="AD30" s="19">
        <f>IF(AQ30="7",BH30,0)</f>
        <v>0</v>
      </c>
      <c r="AE30" s="19">
        <f>IF(AQ30="7",BI30,0)</f>
        <v>0</v>
      </c>
      <c r="AF30" s="19">
        <f>IF(AQ30="2",BH30,0)</f>
        <v>0</v>
      </c>
      <c r="AG30" s="19">
        <f>IF(AQ30="2",BI30,0)</f>
        <v>0</v>
      </c>
      <c r="AH30" s="19">
        <f>IF(AQ30="0",BJ30,0)</f>
        <v>0</v>
      </c>
      <c r="AI30" s="25" t="s">
        <v>31</v>
      </c>
      <c r="AJ30" s="19">
        <f>IF(AN30=0,L30,0)</f>
        <v>0</v>
      </c>
      <c r="AK30" s="19">
        <f>IF(AN30=12,L30,0)</f>
        <v>0</v>
      </c>
      <c r="AL30" s="19">
        <f>IF(AN30=21,L30,0)</f>
        <v>0</v>
      </c>
      <c r="AN30" s="19">
        <v>21</v>
      </c>
      <c r="AO30" s="19">
        <f>H30*0</f>
        <v>0</v>
      </c>
      <c r="AP30" s="19">
        <f>H30*(1-0)</f>
        <v>0</v>
      </c>
      <c r="AQ30" s="77" t="s">
        <v>181</v>
      </c>
      <c r="AV30" s="19">
        <f>AW30+AX30</f>
        <v>0</v>
      </c>
      <c r="AW30" s="19">
        <f>G30*AO30</f>
        <v>0</v>
      </c>
      <c r="AX30" s="19">
        <f>G30*AP30</f>
        <v>0</v>
      </c>
      <c r="AY30" s="77" t="s">
        <v>205</v>
      </c>
      <c r="AZ30" s="77" t="s">
        <v>206</v>
      </c>
      <c r="BA30" s="25" t="s">
        <v>185</v>
      </c>
      <c r="BC30" s="19">
        <f>AW30+AX30</f>
        <v>0</v>
      </c>
      <c r="BD30" s="19">
        <f>H30/(100-BE30)*100</f>
        <v>0</v>
      </c>
      <c r="BE30" s="19">
        <v>0</v>
      </c>
      <c r="BF30" s="19">
        <f>O30</f>
        <v>1.3087</v>
      </c>
      <c r="BH30" s="19">
        <f>G30*AO30</f>
        <v>0</v>
      </c>
      <c r="BI30" s="19">
        <f>G30*AP30</f>
        <v>0</v>
      </c>
      <c r="BJ30" s="19">
        <f>G30*H30</f>
        <v>0</v>
      </c>
      <c r="BK30" s="19"/>
      <c r="BL30" s="19">
        <v>97</v>
      </c>
      <c r="BW30" s="19" t="str">
        <f>I30</f>
        <v>21</v>
      </c>
      <c r="BX30" s="5" t="s">
        <v>92</v>
      </c>
    </row>
    <row r="31" spans="1:76" x14ac:dyDescent="0.25">
      <c r="J31" s="175" t="s">
        <v>94</v>
      </c>
      <c r="K31" s="175"/>
      <c r="L31" s="84">
        <f>ROUND(L12+L15+L19+L24+L27+L29,1)</f>
        <v>0</v>
      </c>
      <c r="M31" s="84">
        <f>ROUND(M12+M15+M19+M24+M27+M29,1)</f>
        <v>0</v>
      </c>
    </row>
    <row r="32" spans="1:76" x14ac:dyDescent="0.25">
      <c r="A32" s="32" t="s">
        <v>96</v>
      </c>
    </row>
    <row r="33" spans="1:16" ht="12.75" customHeight="1" x14ac:dyDescent="0.25">
      <c r="A33" s="97" t="s">
        <v>31</v>
      </c>
      <c r="B33" s="91"/>
      <c r="C33" s="91"/>
      <c r="D33" s="91"/>
      <c r="E33" s="91"/>
      <c r="F33" s="91"/>
      <c r="G33" s="91"/>
      <c r="H33" s="91"/>
      <c r="I33" s="91"/>
      <c r="J33" s="91"/>
      <c r="K33" s="91"/>
      <c r="L33" s="91"/>
      <c r="M33" s="91"/>
      <c r="N33" s="91"/>
      <c r="O33" s="91"/>
      <c r="P33" s="91"/>
    </row>
  </sheetData>
  <mergeCells count="50">
    <mergeCell ref="D29:E29"/>
    <mergeCell ref="D30:E30"/>
    <mergeCell ref="J31:K31"/>
    <mergeCell ref="A33:P33"/>
    <mergeCell ref="D24:E24"/>
    <mergeCell ref="D25:E25"/>
    <mergeCell ref="D26:E26"/>
    <mergeCell ref="D27:E27"/>
    <mergeCell ref="D28:E28"/>
    <mergeCell ref="D19:E19"/>
    <mergeCell ref="D20:E20"/>
    <mergeCell ref="D21:E21"/>
    <mergeCell ref="D22:E22"/>
    <mergeCell ref="D23:E23"/>
    <mergeCell ref="D14:E14"/>
    <mergeCell ref="D15:E15"/>
    <mergeCell ref="D16:E16"/>
    <mergeCell ref="D17:E17"/>
    <mergeCell ref="D18:E18"/>
    <mergeCell ref="D11:E11"/>
    <mergeCell ref="J10:L10"/>
    <mergeCell ref="N10:O10"/>
    <mergeCell ref="D12:E12"/>
    <mergeCell ref="D13:E13"/>
    <mergeCell ref="K2:P3"/>
    <mergeCell ref="K4:P5"/>
    <mergeCell ref="K6:P7"/>
    <mergeCell ref="K8:P9"/>
    <mergeCell ref="D10:E10"/>
    <mergeCell ref="D8:E9"/>
    <mergeCell ref="H2:H3"/>
    <mergeCell ref="H4:H5"/>
    <mergeCell ref="H6:H7"/>
    <mergeCell ref="H8:H9"/>
    <mergeCell ref="A1:P1"/>
    <mergeCell ref="A2:C3"/>
    <mergeCell ref="A4:C5"/>
    <mergeCell ref="A6:C7"/>
    <mergeCell ref="A8:C9"/>
    <mergeCell ref="F2:G3"/>
    <mergeCell ref="F4:G5"/>
    <mergeCell ref="F6:G7"/>
    <mergeCell ref="F8:G9"/>
    <mergeCell ref="I2:J3"/>
    <mergeCell ref="I4:J5"/>
    <mergeCell ref="I6:J7"/>
    <mergeCell ref="I8:J9"/>
    <mergeCell ref="D2:E3"/>
    <mergeCell ref="D4:E5"/>
    <mergeCell ref="D6:E7"/>
  </mergeCells>
  <pageMargins left="0.393999993801117" right="0.393999993801117" top="0.59100002050399802" bottom="0.59100002050399802" header="0" footer="0"/>
  <pageSetup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Rozpočet - vybrané sloupce</vt:lpstr>
      <vt:lpstr>Krycí list rozpočtu</vt:lpstr>
      <vt:lpstr>VORN</vt:lpstr>
      <vt:lpstr>Stavební rozpočet</vt:lpstr>
      <vt:lpstr>vorn_sum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Administrator</cp:lastModifiedBy>
  <dcterms:created xsi:type="dcterms:W3CDTF">2021-06-10T20:06:38Z</dcterms:created>
  <dcterms:modified xsi:type="dcterms:W3CDTF">2025-01-16T12:38:04Z</dcterms:modified>
</cp:coreProperties>
</file>