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racholu\AppData\Local\Temp\_tc\"/>
    </mc:Choice>
  </mc:AlternateContent>
  <bookViews>
    <workbookView xWindow="3090" yWindow="30" windowWidth="22740" windowHeight="12210"/>
  </bookViews>
  <sheets>
    <sheet name="Rozpočet - vybrané sloupce" sheetId="1" r:id="rId1"/>
    <sheet name="Krycí list rozpočtu" sheetId="3" r:id="rId2"/>
    <sheet name="VORN" sheetId="4" state="hidden" r:id="rId3"/>
    <sheet name="Stavební rozpočet" sheetId="5" state="hidden" r:id="rId4"/>
  </sheets>
  <definedNames>
    <definedName name="vorn_sum">VORN!$I$36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W45" i="5" l="1"/>
  <c r="AK45" i="5"/>
  <c r="AT44" i="5" s="1"/>
  <c r="AJ45" i="5"/>
  <c r="AH45" i="5"/>
  <c r="AG45" i="5"/>
  <c r="AF45" i="5"/>
  <c r="AE45" i="5"/>
  <c r="AD45" i="5"/>
  <c r="Z45" i="5"/>
  <c r="H45" i="5"/>
  <c r="AP45" i="5" s="1"/>
  <c r="G45" i="5"/>
  <c r="AS44" i="5"/>
  <c r="BW43" i="5"/>
  <c r="BD43" i="5"/>
  <c r="AO43" i="5"/>
  <c r="AK43" i="5"/>
  <c r="AT42" i="5" s="1"/>
  <c r="AJ43" i="5"/>
  <c r="AS42" i="5" s="1"/>
  <c r="AH43" i="5"/>
  <c r="AG43" i="5"/>
  <c r="AF43" i="5"/>
  <c r="AC43" i="5"/>
  <c r="AB43" i="5"/>
  <c r="Z43" i="5"/>
  <c r="H43" i="5"/>
  <c r="AP43" i="5" s="1"/>
  <c r="G43" i="5"/>
  <c r="BW41" i="5"/>
  <c r="AK41" i="5"/>
  <c r="AJ41" i="5"/>
  <c r="AH41" i="5"/>
  <c r="AG41" i="5"/>
  <c r="AF41" i="5"/>
  <c r="AC41" i="5"/>
  <c r="AB41" i="5"/>
  <c r="Z41" i="5"/>
  <c r="H41" i="5"/>
  <c r="AP41" i="5" s="1"/>
  <c r="AX41" i="5" s="1"/>
  <c r="G41" i="5"/>
  <c r="BW40" i="5"/>
  <c r="AK40" i="5"/>
  <c r="AJ40" i="5"/>
  <c r="AH40" i="5"/>
  <c r="AG40" i="5"/>
  <c r="AF40" i="5"/>
  <c r="AC40" i="5"/>
  <c r="AB40" i="5"/>
  <c r="Z40" i="5"/>
  <c r="O40" i="5"/>
  <c r="BF40" i="5" s="1"/>
  <c r="H40" i="5"/>
  <c r="AO40" i="5" s="1"/>
  <c r="G40" i="5"/>
  <c r="BW39" i="5"/>
  <c r="AK39" i="5"/>
  <c r="AJ39" i="5"/>
  <c r="AH39" i="5"/>
  <c r="AG39" i="5"/>
  <c r="AF39" i="5"/>
  <c r="AC39" i="5"/>
  <c r="AB39" i="5"/>
  <c r="Z39" i="5"/>
  <c r="O39" i="5"/>
  <c r="BF39" i="5" s="1"/>
  <c r="H39" i="5"/>
  <c r="G39" i="5"/>
  <c r="BW38" i="5"/>
  <c r="BD38" i="5"/>
  <c r="AP38" i="5"/>
  <c r="AK38" i="5"/>
  <c r="AJ38" i="5"/>
  <c r="AH38" i="5"/>
  <c r="AG38" i="5"/>
  <c r="AF38" i="5"/>
  <c r="AC38" i="5"/>
  <c r="AB38" i="5"/>
  <c r="Z38" i="5"/>
  <c r="H38" i="5"/>
  <c r="AO38" i="5" s="1"/>
  <c r="G38" i="5"/>
  <c r="BW37" i="5"/>
  <c r="AK37" i="5"/>
  <c r="AJ37" i="5"/>
  <c r="AH37" i="5"/>
  <c r="AG37" i="5"/>
  <c r="AF37" i="5"/>
  <c r="AC37" i="5"/>
  <c r="AB37" i="5"/>
  <c r="Z37" i="5"/>
  <c r="O37" i="5"/>
  <c r="BF37" i="5" s="1"/>
  <c r="H37" i="5"/>
  <c r="AP37" i="5" s="1"/>
  <c r="G37" i="5"/>
  <c r="BW35" i="5"/>
  <c r="AP35" i="5"/>
  <c r="AK35" i="5"/>
  <c r="AJ35" i="5"/>
  <c r="AH35" i="5"/>
  <c r="AG35" i="5"/>
  <c r="AF35" i="5"/>
  <c r="AE35" i="5"/>
  <c r="AD35" i="5"/>
  <c r="Z35" i="5"/>
  <c r="H35" i="5"/>
  <c r="AO35" i="5" s="1"/>
  <c r="G35" i="5"/>
  <c r="BW34" i="5"/>
  <c r="AK34" i="5"/>
  <c r="AJ34" i="5"/>
  <c r="AH34" i="5"/>
  <c r="AG34" i="5"/>
  <c r="AF34" i="5"/>
  <c r="AE34" i="5"/>
  <c r="AD34" i="5"/>
  <c r="Z34" i="5"/>
  <c r="O34" i="5"/>
  <c r="BF34" i="5" s="1"/>
  <c r="H34" i="5"/>
  <c r="G34" i="5"/>
  <c r="AT33" i="5"/>
  <c r="AS33" i="5"/>
  <c r="BW32" i="5"/>
  <c r="AP32" i="5"/>
  <c r="AK32" i="5"/>
  <c r="AJ32" i="5"/>
  <c r="AH32" i="5"/>
  <c r="AG32" i="5"/>
  <c r="AF32" i="5"/>
  <c r="AE32" i="5"/>
  <c r="AD32" i="5"/>
  <c r="Z32" i="5"/>
  <c r="O32" i="5"/>
  <c r="BF32" i="5" s="1"/>
  <c r="H32" i="5"/>
  <c r="AO32" i="5" s="1"/>
  <c r="G32" i="5"/>
  <c r="BW31" i="5"/>
  <c r="AK31" i="5"/>
  <c r="AJ31" i="5"/>
  <c r="AS28" i="5" s="1"/>
  <c r="AH31" i="5"/>
  <c r="AG31" i="5"/>
  <c r="AF31" i="5"/>
  <c r="AE31" i="5"/>
  <c r="AD31" i="5"/>
  <c r="Z31" i="5"/>
  <c r="H31" i="5"/>
  <c r="AP31" i="5" s="1"/>
  <c r="G31" i="5"/>
  <c r="BW30" i="5"/>
  <c r="AP30" i="5"/>
  <c r="AO30" i="5"/>
  <c r="AK30" i="5"/>
  <c r="AJ30" i="5"/>
  <c r="AH30" i="5"/>
  <c r="AG30" i="5"/>
  <c r="AF30" i="5"/>
  <c r="AE30" i="5"/>
  <c r="AD30" i="5"/>
  <c r="Z30" i="5"/>
  <c r="H30" i="5"/>
  <c r="BD30" i="5" s="1"/>
  <c r="G30" i="5"/>
  <c r="BW29" i="5"/>
  <c r="AK29" i="5"/>
  <c r="AJ29" i="5"/>
  <c r="AH29" i="5"/>
  <c r="AG29" i="5"/>
  <c r="AF29" i="5"/>
  <c r="AE29" i="5"/>
  <c r="AD29" i="5"/>
  <c r="Z29" i="5"/>
  <c r="O29" i="5"/>
  <c r="BF29" i="5" s="1"/>
  <c r="H29" i="5"/>
  <c r="G29" i="5"/>
  <c r="BW27" i="5"/>
  <c r="AO27" i="5"/>
  <c r="AK27" i="5"/>
  <c r="AJ27" i="5"/>
  <c r="AS26" i="5" s="1"/>
  <c r="AH27" i="5"/>
  <c r="AG27" i="5"/>
  <c r="AF27" i="5"/>
  <c r="AE27" i="5"/>
  <c r="AD27" i="5"/>
  <c r="Z27" i="5"/>
  <c r="O27" i="5"/>
  <c r="BF27" i="5" s="1"/>
  <c r="H27" i="5"/>
  <c r="BD27" i="5" s="1"/>
  <c r="G27" i="5"/>
  <c r="AT26" i="5"/>
  <c r="O26" i="5"/>
  <c r="BW25" i="5"/>
  <c r="AK25" i="5"/>
  <c r="AJ25" i="5"/>
  <c r="AH25" i="5"/>
  <c r="AG25" i="5"/>
  <c r="AF25" i="5"/>
  <c r="AE25" i="5"/>
  <c r="AD25" i="5"/>
  <c r="Z25" i="5"/>
  <c r="H25" i="5"/>
  <c r="AP25" i="5" s="1"/>
  <c r="G25" i="5"/>
  <c r="BW24" i="5"/>
  <c r="AK24" i="5"/>
  <c r="AJ24" i="5"/>
  <c r="AS23" i="5" s="1"/>
  <c r="AH24" i="5"/>
  <c r="AG24" i="5"/>
  <c r="AF24" i="5"/>
  <c r="AE24" i="5"/>
  <c r="AD24" i="5"/>
  <c r="Z24" i="5"/>
  <c r="O24" i="5"/>
  <c r="H24" i="5"/>
  <c r="G24" i="5"/>
  <c r="BW22" i="5"/>
  <c r="AK22" i="5"/>
  <c r="AT21" i="5" s="1"/>
  <c r="AJ22" i="5"/>
  <c r="AS21" i="5" s="1"/>
  <c r="AH22" i="5"/>
  <c r="AG22" i="5"/>
  <c r="AF22" i="5"/>
  <c r="AE22" i="5"/>
  <c r="AD22" i="5"/>
  <c r="Z22" i="5"/>
  <c r="L22" i="5"/>
  <c r="H22" i="5"/>
  <c r="AO22" i="5" s="1"/>
  <c r="G22" i="5"/>
  <c r="BW20" i="5"/>
  <c r="BF20" i="5"/>
  <c r="AK20" i="5"/>
  <c r="AJ20" i="5"/>
  <c r="AH20" i="5"/>
  <c r="AG20" i="5"/>
  <c r="AF20" i="5"/>
  <c r="AE20" i="5"/>
  <c r="AD20" i="5"/>
  <c r="Z20" i="5"/>
  <c r="O20" i="5"/>
  <c r="H20" i="5"/>
  <c r="AO20" i="5" s="1"/>
  <c r="G20" i="5"/>
  <c r="BW19" i="5"/>
  <c r="AK19" i="5"/>
  <c r="AJ19" i="5"/>
  <c r="AH19" i="5"/>
  <c r="AG19" i="5"/>
  <c r="AF19" i="5"/>
  <c r="AE19" i="5"/>
  <c r="AD19" i="5"/>
  <c r="Z19" i="5"/>
  <c r="H19" i="5"/>
  <c r="AO19" i="5" s="1"/>
  <c r="G19" i="5"/>
  <c r="BW18" i="5"/>
  <c r="AK18" i="5"/>
  <c r="AJ18" i="5"/>
  <c r="AH18" i="5"/>
  <c r="AG18" i="5"/>
  <c r="AF18" i="5"/>
  <c r="AE18" i="5"/>
  <c r="AD18" i="5"/>
  <c r="Z18" i="5"/>
  <c r="O18" i="5"/>
  <c r="BF18" i="5" s="1"/>
  <c r="H18" i="5"/>
  <c r="AO18" i="5" s="1"/>
  <c r="J18" i="5" s="1"/>
  <c r="G18" i="5"/>
  <c r="BW17" i="5"/>
  <c r="AK17" i="5"/>
  <c r="AJ17" i="5"/>
  <c r="AH17" i="5"/>
  <c r="AG17" i="5"/>
  <c r="AF17" i="5"/>
  <c r="AE17" i="5"/>
  <c r="AD17" i="5"/>
  <c r="Z17" i="5"/>
  <c r="H17" i="5"/>
  <c r="AO17" i="5" s="1"/>
  <c r="G17" i="5"/>
  <c r="BW15" i="5"/>
  <c r="AK15" i="5"/>
  <c r="AT14" i="5" s="1"/>
  <c r="AJ15" i="5"/>
  <c r="AS14" i="5" s="1"/>
  <c r="AH15" i="5"/>
  <c r="AG15" i="5"/>
  <c r="AF15" i="5"/>
  <c r="AE15" i="5"/>
  <c r="AD15" i="5"/>
  <c r="Z15" i="5"/>
  <c r="H15" i="5"/>
  <c r="AO15" i="5" s="1"/>
  <c r="G15" i="5"/>
  <c r="BW13" i="5"/>
  <c r="BF13" i="5"/>
  <c r="AK13" i="5"/>
  <c r="AT12" i="5" s="1"/>
  <c r="AJ13" i="5"/>
  <c r="AS12" i="5" s="1"/>
  <c r="AH13" i="5"/>
  <c r="AG13" i="5"/>
  <c r="AF13" i="5"/>
  <c r="AE13" i="5"/>
  <c r="AD13" i="5"/>
  <c r="Z13" i="5"/>
  <c r="O13" i="5"/>
  <c r="O12" i="5" s="1"/>
  <c r="H13" i="5"/>
  <c r="G13" i="5"/>
  <c r="AU1" i="5"/>
  <c r="AT1" i="5"/>
  <c r="AS1" i="5"/>
  <c r="I35" i="4"/>
  <c r="I36" i="4" s="1"/>
  <c r="I24" i="3" s="1"/>
  <c r="I26" i="4"/>
  <c r="I25" i="4"/>
  <c r="I24" i="4"/>
  <c r="I23" i="4"/>
  <c r="I16" i="3" s="1"/>
  <c r="I22" i="4"/>
  <c r="I21" i="4"/>
  <c r="I17" i="4"/>
  <c r="I16" i="4"/>
  <c r="I15" i="4"/>
  <c r="I10" i="4"/>
  <c r="F10" i="4"/>
  <c r="C10" i="4"/>
  <c r="F8" i="4"/>
  <c r="C8" i="4"/>
  <c r="F6" i="4"/>
  <c r="C6" i="4"/>
  <c r="F4" i="4"/>
  <c r="C4" i="4"/>
  <c r="F2" i="4"/>
  <c r="C2" i="4"/>
  <c r="I19" i="3"/>
  <c r="I18" i="3"/>
  <c r="I17" i="3"/>
  <c r="I15" i="3"/>
  <c r="F15" i="3"/>
  <c r="I14" i="3"/>
  <c r="F14" i="3"/>
  <c r="I10" i="3"/>
  <c r="F10" i="3"/>
  <c r="C10" i="3"/>
  <c r="F8" i="3"/>
  <c r="C8" i="3"/>
  <c r="F6" i="3"/>
  <c r="C6" i="3"/>
  <c r="F4" i="3"/>
  <c r="C4" i="3"/>
  <c r="F2" i="3"/>
  <c r="C2" i="3"/>
  <c r="IS63" i="1"/>
  <c r="I63" i="1" s="1"/>
  <c r="I62" i="1" s="1"/>
  <c r="IR63" i="1"/>
  <c r="IS61" i="1"/>
  <c r="I61" i="1" s="1"/>
  <c r="I60" i="1" s="1"/>
  <c r="IR61" i="1"/>
  <c r="IS59" i="1"/>
  <c r="IR59" i="1"/>
  <c r="I59" i="1"/>
  <c r="IS58" i="1"/>
  <c r="IR58" i="1"/>
  <c r="IS57" i="1"/>
  <c r="IR57" i="1"/>
  <c r="IS56" i="1"/>
  <c r="I56" i="1" s="1"/>
  <c r="IR56" i="1"/>
  <c r="IS55" i="1"/>
  <c r="IR55" i="1"/>
  <c r="IS54" i="1"/>
  <c r="IR54" i="1"/>
  <c r="I54" i="1" s="1"/>
  <c r="IS53" i="1"/>
  <c r="IR53" i="1"/>
  <c r="IS52" i="1"/>
  <c r="IR52" i="1"/>
  <c r="IS51" i="1"/>
  <c r="I51" i="1" s="1"/>
  <c r="IR51" i="1"/>
  <c r="IS50" i="1"/>
  <c r="IR50" i="1"/>
  <c r="IS49" i="1"/>
  <c r="IR49" i="1"/>
  <c r="I49" i="1" s="1"/>
  <c r="IS47" i="1"/>
  <c r="IR47" i="1"/>
  <c r="I47" i="1" s="1"/>
  <c r="IS46" i="1"/>
  <c r="IR46" i="1"/>
  <c r="IS45" i="1"/>
  <c r="IR45" i="1"/>
  <c r="IS44" i="1"/>
  <c r="I44" i="1" s="1"/>
  <c r="IR44" i="1"/>
  <c r="IS42" i="1"/>
  <c r="IR42" i="1"/>
  <c r="IS41" i="1"/>
  <c r="IR41" i="1"/>
  <c r="I41" i="1"/>
  <c r="IS40" i="1"/>
  <c r="IR40" i="1"/>
  <c r="I40" i="1" s="1"/>
  <c r="IS39" i="1"/>
  <c r="IR39" i="1"/>
  <c r="IS38" i="1"/>
  <c r="IR38" i="1"/>
  <c r="IS37" i="1"/>
  <c r="IR37" i="1"/>
  <c r="I37" i="1" s="1"/>
  <c r="IS35" i="1"/>
  <c r="IR35" i="1"/>
  <c r="IS34" i="1"/>
  <c r="IR34" i="1"/>
  <c r="I34" i="1" s="1"/>
  <c r="I33" i="1" s="1"/>
  <c r="IS32" i="1"/>
  <c r="IR32" i="1"/>
  <c r="IS31" i="1"/>
  <c r="IR31" i="1"/>
  <c r="IS30" i="1"/>
  <c r="IR30" i="1"/>
  <c r="I30" i="1" s="1"/>
  <c r="IS29" i="1"/>
  <c r="IR29" i="1"/>
  <c r="IS28" i="1"/>
  <c r="IR28" i="1"/>
  <c r="IS27" i="1"/>
  <c r="IR27" i="1"/>
  <c r="I27" i="1" s="1"/>
  <c r="IS25" i="1"/>
  <c r="I25" i="1" s="1"/>
  <c r="I24" i="1" s="1"/>
  <c r="IR25" i="1"/>
  <c r="IS23" i="1"/>
  <c r="IR23" i="1"/>
  <c r="IS22" i="1"/>
  <c r="IR22" i="1"/>
  <c r="IS21" i="1"/>
  <c r="IR21" i="1"/>
  <c r="IS20" i="1"/>
  <c r="IR20" i="1"/>
  <c r="IS19" i="1"/>
  <c r="IR19" i="1"/>
  <c r="I19" i="1" s="1"/>
  <c r="IS17" i="1"/>
  <c r="IR17" i="1"/>
  <c r="IS16" i="1"/>
  <c r="IR16" i="1"/>
  <c r="IS15" i="1"/>
  <c r="IR15" i="1"/>
  <c r="I15" i="1" s="1"/>
  <c r="I14" i="1" s="1"/>
  <c r="IS13" i="1"/>
  <c r="IR13" i="1"/>
  <c r="IS12" i="1"/>
  <c r="IR12" i="1"/>
  <c r="I12" i="1" s="1"/>
  <c r="I11" i="1" s="1"/>
  <c r="G8" i="1"/>
  <c r="E8" i="1"/>
  <c r="C8" i="1"/>
  <c r="G6" i="1"/>
  <c r="E6" i="1"/>
  <c r="C6" i="1"/>
  <c r="E4" i="1"/>
  <c r="C4" i="1"/>
  <c r="G2" i="1"/>
  <c r="E2" i="1"/>
  <c r="C2" i="1"/>
  <c r="I22" i="1" l="1"/>
  <c r="I21" i="1"/>
  <c r="BJ13" i="5"/>
  <c r="I23" i="1"/>
  <c r="AS16" i="5"/>
  <c r="BJ41" i="5"/>
  <c r="L41" i="5"/>
  <c r="M41" i="5" s="1"/>
  <c r="BD41" i="5"/>
  <c r="AO41" i="5"/>
  <c r="L40" i="5"/>
  <c r="BD40" i="5"/>
  <c r="AP40" i="5"/>
  <c r="BI40" i="5" s="1"/>
  <c r="AE40" i="5" s="1"/>
  <c r="I48" i="1"/>
  <c r="AS36" i="5"/>
  <c r="BD37" i="5"/>
  <c r="BD35" i="5"/>
  <c r="I43" i="1"/>
  <c r="BD32" i="5"/>
  <c r="L31" i="5"/>
  <c r="I39" i="1"/>
  <c r="BJ30" i="5"/>
  <c r="I36" i="1"/>
  <c r="AT28" i="5"/>
  <c r="AP27" i="5"/>
  <c r="L27" i="5"/>
  <c r="AT23" i="5"/>
  <c r="BD25" i="5"/>
  <c r="BJ25" i="5"/>
  <c r="C27" i="3"/>
  <c r="AP22" i="5"/>
  <c r="K22" i="5" s="1"/>
  <c r="K21" i="5" s="1"/>
  <c r="BD22" i="5"/>
  <c r="BJ22" i="5"/>
  <c r="AW20" i="5"/>
  <c r="J20" i="5"/>
  <c r="C20" i="3"/>
  <c r="AT16" i="5"/>
  <c r="BJ20" i="5"/>
  <c r="L19" i="5"/>
  <c r="BD19" i="5"/>
  <c r="BJ19" i="5"/>
  <c r="AP19" i="5"/>
  <c r="K19" i="5" s="1"/>
  <c r="BJ18" i="5"/>
  <c r="I18" i="1"/>
  <c r="C21" i="3"/>
  <c r="C19" i="3"/>
  <c r="AP15" i="5"/>
  <c r="BD15" i="5"/>
  <c r="C18" i="3"/>
  <c r="C28" i="3"/>
  <c r="F28" i="3" s="1"/>
  <c r="I22" i="3"/>
  <c r="I26" i="1"/>
  <c r="I27" i="4"/>
  <c r="F16" i="3"/>
  <c r="I18" i="4"/>
  <c r="BD13" i="5"/>
  <c r="AP13" i="5"/>
  <c r="AO13" i="5"/>
  <c r="F22" i="3"/>
  <c r="BH15" i="5"/>
  <c r="AB15" i="5" s="1"/>
  <c r="BD24" i="5"/>
  <c r="AP24" i="5"/>
  <c r="K24" i="5" s="1"/>
  <c r="AO24" i="5"/>
  <c r="AW24" i="5" s="1"/>
  <c r="AL27" i="5"/>
  <c r="AU26" i="5" s="1"/>
  <c r="M27" i="5"/>
  <c r="M26" i="5" s="1"/>
  <c r="L26" i="5"/>
  <c r="AP29" i="5"/>
  <c r="BI29" i="5" s="1"/>
  <c r="AC29" i="5" s="1"/>
  <c r="L29" i="5"/>
  <c r="AP34" i="5"/>
  <c r="K34" i="5" s="1"/>
  <c r="K33" i="5" s="1"/>
  <c r="L34" i="5"/>
  <c r="AW35" i="5"/>
  <c r="BI35" i="5"/>
  <c r="AC35" i="5" s="1"/>
  <c r="AX35" i="5"/>
  <c r="J35" i="5"/>
  <c r="BH35" i="5"/>
  <c r="AB35" i="5" s="1"/>
  <c r="O35" i="5"/>
  <c r="AW38" i="5"/>
  <c r="BH38" i="5"/>
  <c r="AD38" i="5" s="1"/>
  <c r="J38" i="5"/>
  <c r="O38" i="5"/>
  <c r="AL40" i="5"/>
  <c r="M40" i="5"/>
  <c r="AW43" i="5"/>
  <c r="BH43" i="5"/>
  <c r="AD43" i="5" s="1"/>
  <c r="J43" i="5"/>
  <c r="J42" i="5" s="1"/>
  <c r="O43" i="5"/>
  <c r="BI45" i="5"/>
  <c r="AC45" i="5" s="1"/>
  <c r="K45" i="5"/>
  <c r="K44" i="5" s="1"/>
  <c r="O45" i="5"/>
  <c r="AX45" i="5"/>
  <c r="L15" i="5"/>
  <c r="BJ15" i="5"/>
  <c r="BD17" i="5"/>
  <c r="AW18" i="5"/>
  <c r="AL19" i="5"/>
  <c r="M19" i="5"/>
  <c r="BH20" i="5"/>
  <c r="AB20" i="5" s="1"/>
  <c r="BD29" i="5"/>
  <c r="AW32" i="5"/>
  <c r="BJ32" i="5"/>
  <c r="K32" i="5"/>
  <c r="BI32" i="5"/>
  <c r="AC32" i="5" s="1"/>
  <c r="AX32" i="5"/>
  <c r="J32" i="5"/>
  <c r="BH32" i="5"/>
  <c r="AB32" i="5" s="1"/>
  <c r="BD34" i="5"/>
  <c r="BJ35" i="5"/>
  <c r="BI38" i="5"/>
  <c r="AE38" i="5" s="1"/>
  <c r="AP39" i="5"/>
  <c r="AX39" i="5" s="1"/>
  <c r="BD39" i="5"/>
  <c r="AO39" i="5"/>
  <c r="BJ39" i="5"/>
  <c r="L39" i="5"/>
  <c r="AL41" i="5"/>
  <c r="BI43" i="5"/>
  <c r="AE43" i="5" s="1"/>
  <c r="BH18" i="5"/>
  <c r="AB18" i="5" s="1"/>
  <c r="BI25" i="5"/>
  <c r="AC25" i="5" s="1"/>
  <c r="K25" i="5"/>
  <c r="L25" i="5"/>
  <c r="AW30" i="5"/>
  <c r="BI30" i="5"/>
  <c r="AC30" i="5" s="1"/>
  <c r="AX30" i="5"/>
  <c r="J30" i="5"/>
  <c r="BH30" i="5"/>
  <c r="AB30" i="5" s="1"/>
  <c r="O30" i="5"/>
  <c r="AW15" i="5"/>
  <c r="L17" i="5"/>
  <c r="AP17" i="5"/>
  <c r="AX17" i="5" s="1"/>
  <c r="BD18" i="5"/>
  <c r="AP18" i="5"/>
  <c r="BI18" i="5" s="1"/>
  <c r="AC18" i="5" s="1"/>
  <c r="BH19" i="5"/>
  <c r="AB19" i="5" s="1"/>
  <c r="O19" i="5"/>
  <c r="BF19" i="5" s="1"/>
  <c r="J19" i="5"/>
  <c r="AW19" i="5"/>
  <c r="L21" i="5"/>
  <c r="AL22" i="5"/>
  <c r="AU21" i="5" s="1"/>
  <c r="M22" i="5"/>
  <c r="M21" i="5" s="1"/>
  <c r="BF24" i="5"/>
  <c r="AO25" i="5"/>
  <c r="BH25" i="5" s="1"/>
  <c r="AB25" i="5" s="1"/>
  <c r="AW27" i="5"/>
  <c r="BJ27" i="5"/>
  <c r="K27" i="5"/>
  <c r="K26" i="5" s="1"/>
  <c r="BI27" i="5"/>
  <c r="AC27" i="5" s="1"/>
  <c r="AX27" i="5"/>
  <c r="J27" i="5"/>
  <c r="J26" i="5" s="1"/>
  <c r="BH27" i="5"/>
  <c r="AB27" i="5" s="1"/>
  <c r="K30" i="5"/>
  <c r="AL31" i="5"/>
  <c r="M31" i="5"/>
  <c r="K35" i="5"/>
  <c r="BI37" i="5"/>
  <c r="AE37" i="5" s="1"/>
  <c r="K37" i="5"/>
  <c r="BJ37" i="5"/>
  <c r="AX37" i="5"/>
  <c r="L37" i="5"/>
  <c r="BH37" i="5"/>
  <c r="AD37" i="5" s="1"/>
  <c r="AT36" i="5"/>
  <c r="K38" i="5"/>
  <c r="AX38" i="5"/>
  <c r="BJ38" i="5"/>
  <c r="AW40" i="5"/>
  <c r="AX40" i="5"/>
  <c r="K40" i="5"/>
  <c r="BH40" i="5"/>
  <c r="AD40" i="5" s="1"/>
  <c r="J40" i="5"/>
  <c r="K43" i="5"/>
  <c r="K42" i="5" s="1"/>
  <c r="AX43" i="5"/>
  <c r="BJ43" i="5"/>
  <c r="L45" i="5"/>
  <c r="BJ45" i="5"/>
  <c r="L13" i="5"/>
  <c r="J15" i="5"/>
  <c r="J14" i="5" s="1"/>
  <c r="O15" i="5"/>
  <c r="AX15" i="5"/>
  <c r="BH17" i="5"/>
  <c r="AB17" i="5" s="1"/>
  <c r="O17" i="5"/>
  <c r="J17" i="5"/>
  <c r="AW17" i="5"/>
  <c r="BJ17" i="5"/>
  <c r="BD20" i="5"/>
  <c r="AP20" i="5"/>
  <c r="BI20" i="5" s="1"/>
  <c r="AC20" i="5" s="1"/>
  <c r="BH22" i="5"/>
  <c r="AB22" i="5" s="1"/>
  <c r="O22" i="5"/>
  <c r="J22" i="5"/>
  <c r="J21" i="5" s="1"/>
  <c r="AW22" i="5"/>
  <c r="BJ24" i="5"/>
  <c r="O25" i="5"/>
  <c r="BF25" i="5" s="1"/>
  <c r="AX25" i="5"/>
  <c r="AO29" i="5"/>
  <c r="J29" i="5" s="1"/>
  <c r="L30" i="5"/>
  <c r="L32" i="5"/>
  <c r="AO34" i="5"/>
  <c r="J34" i="5" s="1"/>
  <c r="J33" i="5" s="1"/>
  <c r="L35" i="5"/>
  <c r="AO37" i="5"/>
  <c r="J37" i="5" s="1"/>
  <c r="L38" i="5"/>
  <c r="BJ40" i="5"/>
  <c r="L43" i="5"/>
  <c r="BI31" i="5"/>
  <c r="AC31" i="5" s="1"/>
  <c r="K31" i="5"/>
  <c r="AX31" i="5"/>
  <c r="BJ31" i="5"/>
  <c r="AW34" i="5"/>
  <c r="BI41" i="5"/>
  <c r="AE41" i="5" s="1"/>
  <c r="K41" i="5"/>
  <c r="AO45" i="5"/>
  <c r="J45" i="5" s="1"/>
  <c r="J44" i="5" s="1"/>
  <c r="BD45" i="5"/>
  <c r="L18" i="5"/>
  <c r="L20" i="5"/>
  <c r="L24" i="5"/>
  <c r="BJ29" i="5"/>
  <c r="O31" i="5"/>
  <c r="BF31" i="5" s="1"/>
  <c r="AO31" i="5"/>
  <c r="BD31" i="5"/>
  <c r="BI34" i="5"/>
  <c r="AC34" i="5" s="1"/>
  <c r="BJ34" i="5"/>
  <c r="O41" i="5"/>
  <c r="BF41" i="5" s="1"/>
  <c r="BI19" i="5" l="1"/>
  <c r="AC19" i="5" s="1"/>
  <c r="AX19" i="5"/>
  <c r="AX22" i="5"/>
  <c r="AV22" i="5" s="1"/>
  <c r="BI22" i="5"/>
  <c r="AC22" i="5" s="1"/>
  <c r="BH41" i="5"/>
  <c r="AD41" i="5" s="1"/>
  <c r="J41" i="5"/>
  <c r="AW41" i="5"/>
  <c r="BI39" i="5"/>
  <c r="AE39" i="5" s="1"/>
  <c r="C17" i="3" s="1"/>
  <c r="AW37" i="5"/>
  <c r="AX34" i="5"/>
  <c r="I65" i="1"/>
  <c r="AW29" i="5"/>
  <c r="AX29" i="5"/>
  <c r="BC29" i="5" s="1"/>
  <c r="J25" i="5"/>
  <c r="J16" i="5"/>
  <c r="BI15" i="5"/>
  <c r="AC15" i="5" s="1"/>
  <c r="K15" i="5"/>
  <c r="K14" i="5" s="1"/>
  <c r="AL24" i="5"/>
  <c r="M24" i="5"/>
  <c r="M23" i="5" s="1"/>
  <c r="L23" i="5"/>
  <c r="BC34" i="5"/>
  <c r="AV34" i="5"/>
  <c r="AL35" i="5"/>
  <c r="M35" i="5"/>
  <c r="AL30" i="5"/>
  <c r="M30" i="5"/>
  <c r="BF22" i="5"/>
  <c r="O21" i="5"/>
  <c r="BC37" i="5"/>
  <c r="AV37" i="5"/>
  <c r="AV19" i="5"/>
  <c r="BC19" i="5"/>
  <c r="AL17" i="5"/>
  <c r="M17" i="5"/>
  <c r="L16" i="5"/>
  <c r="AW39" i="5"/>
  <c r="J39" i="5"/>
  <c r="J36" i="5" s="1"/>
  <c r="BH39" i="5"/>
  <c r="AD39" i="5" s="1"/>
  <c r="BC32" i="5"/>
  <c r="AV32" i="5"/>
  <c r="L14" i="5"/>
  <c r="AL15" i="5"/>
  <c r="AU14" i="5" s="1"/>
  <c r="M15" i="5"/>
  <c r="M14" i="5" s="1"/>
  <c r="BF38" i="5"/>
  <c r="O36" i="5"/>
  <c r="BF35" i="5"/>
  <c r="O33" i="5"/>
  <c r="AL29" i="5"/>
  <c r="M29" i="5"/>
  <c r="L28" i="5"/>
  <c r="BI13" i="5"/>
  <c r="AC13" i="5" s="1"/>
  <c r="K13" i="5"/>
  <c r="K12" i="5" s="1"/>
  <c r="AX13" i="5"/>
  <c r="AV29" i="5"/>
  <c r="AW45" i="5"/>
  <c r="BF17" i="5"/>
  <c r="O16" i="5"/>
  <c r="BF15" i="5"/>
  <c r="O14" i="5"/>
  <c r="M45" i="5"/>
  <c r="M44" i="5" s="1"/>
  <c r="AL45" i="5"/>
  <c r="AU44" i="5" s="1"/>
  <c r="L44" i="5"/>
  <c r="BC27" i="5"/>
  <c r="AV27" i="5"/>
  <c r="K18" i="5"/>
  <c r="AX18" i="5"/>
  <c r="AV18" i="5" s="1"/>
  <c r="AV15" i="5"/>
  <c r="BC15" i="5"/>
  <c r="M25" i="5"/>
  <c r="AL25" i="5"/>
  <c r="AV43" i="5"/>
  <c r="BC43" i="5"/>
  <c r="AV35" i="5"/>
  <c r="BC35" i="5"/>
  <c r="BH24" i="5"/>
  <c r="AB24" i="5" s="1"/>
  <c r="J24" i="5"/>
  <c r="J23" i="5" s="1"/>
  <c r="BH31" i="5"/>
  <c r="AB31" i="5" s="1"/>
  <c r="AW31" i="5"/>
  <c r="J31" i="5"/>
  <c r="J28" i="5" s="1"/>
  <c r="K29" i="5"/>
  <c r="K28" i="5" s="1"/>
  <c r="M20" i="5"/>
  <c r="AL20" i="5"/>
  <c r="K23" i="5"/>
  <c r="AL43" i="5"/>
  <c r="AU42" i="5" s="1"/>
  <c r="M43" i="5"/>
  <c r="M42" i="5" s="1"/>
  <c r="L42" i="5"/>
  <c r="AL38" i="5"/>
  <c r="M38" i="5"/>
  <c r="BH34" i="5"/>
  <c r="AB34" i="5" s="1"/>
  <c r="BH29" i="5"/>
  <c r="AB29" i="5" s="1"/>
  <c r="BC22" i="5"/>
  <c r="AV40" i="5"/>
  <c r="BC40" i="5"/>
  <c r="AL37" i="5"/>
  <c r="L36" i="5"/>
  <c r="M37" i="5"/>
  <c r="BF30" i="5"/>
  <c r="O28" i="5"/>
  <c r="AW25" i="5"/>
  <c r="M39" i="5"/>
  <c r="AL39" i="5"/>
  <c r="BF45" i="5"/>
  <c r="O44" i="5"/>
  <c r="BF43" i="5"/>
  <c r="O42" i="5"/>
  <c r="AL34" i="5"/>
  <c r="M34" i="5"/>
  <c r="M33" i="5" s="1"/>
  <c r="L33" i="5"/>
  <c r="BI24" i="5"/>
  <c r="AC24" i="5" s="1"/>
  <c r="AX24" i="5"/>
  <c r="AV24" i="5" s="1"/>
  <c r="F29" i="4"/>
  <c r="K39" i="5"/>
  <c r="K36" i="5" s="1"/>
  <c r="AL18" i="5"/>
  <c r="M18" i="5"/>
  <c r="AL32" i="5"/>
  <c r="M32" i="5"/>
  <c r="K20" i="5"/>
  <c r="AX20" i="5"/>
  <c r="AV17" i="5"/>
  <c r="BC17" i="5"/>
  <c r="L12" i="5"/>
  <c r="M13" i="5"/>
  <c r="M12" i="5" s="1"/>
  <c r="AL13" i="5"/>
  <c r="AU12" i="5" s="1"/>
  <c r="O23" i="5"/>
  <c r="BI17" i="5"/>
  <c r="AC17" i="5" s="1"/>
  <c r="K17" i="5"/>
  <c r="AV30" i="5"/>
  <c r="BC30" i="5"/>
  <c r="BH45" i="5"/>
  <c r="AB45" i="5" s="1"/>
  <c r="AV38" i="5"/>
  <c r="BC38" i="5"/>
  <c r="BH13" i="5"/>
  <c r="AB13" i="5" s="1"/>
  <c r="J13" i="5"/>
  <c r="J12" i="5" s="1"/>
  <c r="AW13" i="5"/>
  <c r="BC24" i="5" l="1"/>
  <c r="AV41" i="5"/>
  <c r="BC41" i="5"/>
  <c r="C16" i="3"/>
  <c r="L46" i="5"/>
  <c r="M16" i="5"/>
  <c r="AU36" i="5"/>
  <c r="C15" i="3"/>
  <c r="C14" i="3"/>
  <c r="BC31" i="5"/>
  <c r="AV31" i="5"/>
  <c r="BC45" i="5"/>
  <c r="AV45" i="5"/>
  <c r="AU23" i="5"/>
  <c r="BC25" i="5"/>
  <c r="AV25" i="5"/>
  <c r="M36" i="5"/>
  <c r="BC18" i="5"/>
  <c r="M28" i="5"/>
  <c r="AU16" i="5"/>
  <c r="AV13" i="5"/>
  <c r="BC13" i="5"/>
  <c r="K16" i="5"/>
  <c r="AV20" i="5"/>
  <c r="BC20" i="5"/>
  <c r="AU33" i="5"/>
  <c r="C29" i="3"/>
  <c r="AU28" i="5"/>
  <c r="BC39" i="5"/>
  <c r="AV39" i="5"/>
  <c r="M46" i="5" l="1"/>
  <c r="C22" i="3"/>
  <c r="F29" i="3"/>
  <c r="I28" i="3"/>
  <c r="I29" i="3" l="1"/>
</calcChain>
</file>

<file path=xl/sharedStrings.xml><?xml version="1.0" encoding="utf-8"?>
<sst xmlns="http://schemas.openxmlformats.org/spreadsheetml/2006/main" count="1083" uniqueCount="267">
  <si>
    <t>Stavební rozpočet</t>
  </si>
  <si>
    <t>Název stavby:</t>
  </si>
  <si>
    <t>Doba výstavby:</t>
  </si>
  <si>
    <t>Objednatel:</t>
  </si>
  <si>
    <t>Druh stavby: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</si>
  <si>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</si>
  <si>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</si>
  <si>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</si>
  <si>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</si>
  <si>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</si>
  <si>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</si>
  <si>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</si>
  <si>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</si>
  <si>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</si>
  <si>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Kód</t>
  </si>
  <si>
    <t>Zkrácený popis</t>
  </si>
  <si>
    <t>Varianta</t>
  </si>
  <si>
    <t>MJ</t>
  </si>
  <si>
    <t>Rozměry</t>
  </si>
  <si>
    <t>Množství</t>
  </si>
  <si>
    <t>Jednotková cena (Kč)</t>
  </si>
  <si>
    <t>Náklady celkem (Kč)</t>
  </si>
  <si>
    <t>RTS komentář</t>
  </si>
  <si>
    <t>Cenová soustava</t>
  </si>
  <si>
    <t>GROUPCODE</t>
  </si>
  <si>
    <t>ISWORK</t>
  </si>
  <si>
    <t xml:space="preserve"> </t>
  </si>
  <si>
    <t>11</t>
  </si>
  <si>
    <t>Přípravné a přidružené práce</t>
  </si>
  <si>
    <t>114203103R00</t>
  </si>
  <si>
    <t>Rozebrání dlažeb z lom.kamene do MC, spáry MC</t>
  </si>
  <si>
    <t/>
  </si>
  <si>
    <t>m3</t>
  </si>
  <si>
    <t>Položka se používá i pro dlažby z betonových tvárnic. V položce nejsou zakalkulovány náklady na očištění, třídění ani srovnání lomového kamene. Položka rovněž neobsahuje jakoukoliv manipulaci s vybouranými hmotami mimo technologixcký prostor.</t>
  </si>
  <si>
    <t>RTS I / 2024</t>
  </si>
  <si>
    <t>P</t>
  </si>
  <si>
    <t>0,2* 0,5*(12,8+0,5+14,8+0,5+2)</t>
  </si>
  <si>
    <t>13</t>
  </si>
  <si>
    <t>Hloubené vykopávky</t>
  </si>
  <si>
    <t>131201201R00</t>
  </si>
  <si>
    <t>Hloubení zapažených jam v hor.3 do 100 m3</t>
  </si>
  <si>
    <t>12,8*1*((2+0,6)/2)</t>
  </si>
  <si>
    <t>(14,8+1+1+2)*0,8*0,4</t>
  </si>
  <si>
    <t>15</t>
  </si>
  <si>
    <t>Roubení</t>
  </si>
  <si>
    <t>151101201R00</t>
  </si>
  <si>
    <t>Pažení stěn výkopu - příložné - hloubky do 4 m</t>
  </si>
  <si>
    <t>m2</t>
  </si>
  <si>
    <t>Položka neobsahuje rozepření ani vzepření pažení. Odstranění pažení se oceňuje samostatně.</t>
  </si>
  <si>
    <t>12,8*((2+0,6)/2)</t>
  </si>
  <si>
    <t>151101211R00</t>
  </si>
  <si>
    <t>Odstranění pažení stěn - příložné - hl. do 4 m</t>
  </si>
  <si>
    <t>151101401R00</t>
  </si>
  <si>
    <t>Vzepření stěn pažení - příložné - hl. do 4 m</t>
  </si>
  <si>
    <t>V položce je zakalkulováno i potřebné přepažování. Odstranění vzepření se oceňuje samostatně.</t>
  </si>
  <si>
    <t>151101411R00</t>
  </si>
  <si>
    <t>Odstranění vzepření stěn - příložné - hl. do 4 m</t>
  </si>
  <si>
    <t>17</t>
  </si>
  <si>
    <t>Konstrukce ze zemin</t>
  </si>
  <si>
    <t>174101102R00</t>
  </si>
  <si>
    <t>Zásyp ruční se zhutněním</t>
  </si>
  <si>
    <t>Položka obsahuje přemístění materiálu pro zásyp ze vzdálenosti do 15 m od hrany zasypávaného prostoru - bez použití strojů. Položka je určena pro sypané konstrukce vyplňující prostor pod úrovní terénu v prostorách, kde není možné použít těžkou mechanizaci</t>
  </si>
  <si>
    <t>31</t>
  </si>
  <si>
    <t>Zdi podpěrné a volné</t>
  </si>
  <si>
    <t>319211311RT4</t>
  </si>
  <si>
    <t>Vytmelení zdiva těsnicí maltou, spotř.do 10 kg/m2</t>
  </si>
  <si>
    <t>maltou KÖSTER Repair Mortar</t>
  </si>
  <si>
    <t>Položka je kalkulována bez pomocného lešení a bez odsekání vadných cihel</t>
  </si>
  <si>
    <t>(2,3+0,9)/2*12,8</t>
  </si>
  <si>
    <t>0,7*(14,8+2)</t>
  </si>
  <si>
    <t>319211332RT4</t>
  </si>
  <si>
    <t>Fabion z malty v koutu podlahy poloměr 50 mm</t>
  </si>
  <si>
    <t>m</t>
  </si>
  <si>
    <t>12,8</t>
  </si>
  <si>
    <t>(14,8+2)</t>
  </si>
  <si>
    <t>59</t>
  </si>
  <si>
    <t>Kryty pozemních komunikací, letišť a ploch dlážděných (předlažby)</t>
  </si>
  <si>
    <t>594511111RT2</t>
  </si>
  <si>
    <t>Dlažba z lomového kamene,lože z C -/7,5 do 5 cm</t>
  </si>
  <si>
    <t>tloušťky 200 mm, tř. 1, včetně dodávky kamene</t>
  </si>
  <si>
    <t>60</t>
  </si>
  <si>
    <t>Omítky ze suchých směsí</t>
  </si>
  <si>
    <t>602034103RT1</t>
  </si>
  <si>
    <t>Postřik stěn sanační KÖSTER Restoration Plaster Key Coarse , ručně</t>
  </si>
  <si>
    <t>síťovitě, 4 kg/m2</t>
  </si>
  <si>
    <t xml:space="preserve">Postřik ze suché omítkové směsi. 50 % pokrytí plochy. V položce nejsou zakalkulovány náklady na pomocné lešení. </t>
  </si>
  <si>
    <t>0,4*(12,8+14,8+2)</t>
  </si>
  <si>
    <t>602034123RT3</t>
  </si>
  <si>
    <t>Omítka jádrová sanační, na stěnách, KÖSTER Restoration Plaster White/Light, ručně</t>
  </si>
  <si>
    <t>tloušťka vrstvy 30 mm</t>
  </si>
  <si>
    <t>Položka je kalkulována jako jedna z vrstev omítkové skladby. Položky za jednotlivé požadované vrstvy se sčítají.  V položce nejsou zakalkulovány náklady na pomocné lešení. V položce nejsou zakalkulovány náklady na použití rohových lišt a armovací skelné tkaniny.</t>
  </si>
  <si>
    <t>602034151R00</t>
  </si>
  <si>
    <t>Štuk na stěnách sanační, vnitřní nebo vnější, KÖSTER Fine Plaster, tl. 2,5 mm, ručně</t>
  </si>
  <si>
    <t>602034121RT3</t>
  </si>
  <si>
    <t>Podhoz na stěnách sanační KÖSTER Restoration Plaster Grey/Light, ručně</t>
  </si>
  <si>
    <t>tloušťka vrstvy 20 mm</t>
  </si>
  <si>
    <t>Omítková vrstva ze suché směsi. Slouží k vyrovnání hrubých nerovností omítaného podkladu a jako vrstva pro ukládání škodlivých solí. Položka je kalkulována jako jedna z vrstev omítkové skladby. Položky za jednotlivé požadované vrstvy se sčítají.  V položce nejsou zakalkulovány náklady na pomocné lešení. V položce nejsou zakalkulovány náklady na použití rohových lišt a armovací skelné tkaniny.</t>
  </si>
  <si>
    <t>0,2*11,84   20% plochy omítek</t>
  </si>
  <si>
    <t>62</t>
  </si>
  <si>
    <t>Úprava povrchů vnější</t>
  </si>
  <si>
    <t>622904121R00</t>
  </si>
  <si>
    <t>Ruční čištění ocelovým kartáčem</t>
  </si>
  <si>
    <t>V položce jsou zakalkulovány i náklady na dodání všech hmot.</t>
  </si>
  <si>
    <t>23,36   vnější stěrka pod terénem</t>
  </si>
  <si>
    <t>11,84   sanační omítky</t>
  </si>
  <si>
    <t>620401211R00</t>
  </si>
  <si>
    <t>Nátěr k neutralizaci solí Köster Polysil TG 500</t>
  </si>
  <si>
    <t>Nátěr se používá na neutralizaci solí ve zdivu. Deaktivuje a obaluje solné krystaly. Položka obsahuje nanesení hmoty v jedné vrstvě. Bez nákladů na lešení a očištění podkladu</t>
  </si>
  <si>
    <t>711</t>
  </si>
  <si>
    <t>Izolace proti vodě</t>
  </si>
  <si>
    <t>711212001RW4</t>
  </si>
  <si>
    <t>Nátěr hydroizolační, vč. dodávky HI hmoty</t>
  </si>
  <si>
    <t>Köster NB 1 Grey 2x, netlaková voda (pozitivní i negativní strana)</t>
  </si>
  <si>
    <t>Aplikace ve dvou vrstvách. Prašné a solí poškozené podklady je nutné opatřit penetrací Köster Polysil TG 500. Položka neobsahuje přípravu podkladu</t>
  </si>
  <si>
    <t>0,3*(12,8+14,8+2)</t>
  </si>
  <si>
    <t>711212002RW4</t>
  </si>
  <si>
    <t>Stěrka hydroizolační, vč. dodávky HI hmoty</t>
  </si>
  <si>
    <t>Köster NB 4000, dvousložková, flexibilní, 2x, proti půdní vlhkosti a netlakové vodě</t>
  </si>
  <si>
    <t>(2+0,6)/2*12,8</t>
  </si>
  <si>
    <t>0,4*(14,8+2)</t>
  </si>
  <si>
    <t>711823121RT6</t>
  </si>
  <si>
    <t>Montáž nopové fólie svisle</t>
  </si>
  <si>
    <t>včetně dodávky fólie DEKDREN T20</t>
  </si>
  <si>
    <t>23,36*1,1</t>
  </si>
  <si>
    <t>711823129RT5</t>
  </si>
  <si>
    <t>Montáž ukončovací lišty k nopové fólii</t>
  </si>
  <si>
    <t>včetně dodávky lišty DEKDREN T20</t>
  </si>
  <si>
    <t>711212000RW4</t>
  </si>
  <si>
    <t>Penetrace podkladu pod hydroizolační hmoty, včetně dodávky</t>
  </si>
  <si>
    <t>Köster Polysil TG5 00</t>
  </si>
  <si>
    <t>Penetrace podkladů pod hydroizolační nátěry</t>
  </si>
  <si>
    <t>713</t>
  </si>
  <si>
    <t>Izolace tepelné</t>
  </si>
  <si>
    <t>713191100RT9</t>
  </si>
  <si>
    <t>Položení separační fólie</t>
  </si>
  <si>
    <t>včetně dodávky PE fólie</t>
  </si>
  <si>
    <t>V položce jsou zakalkulovány náklady na dodávku folie.</t>
  </si>
  <si>
    <t>97</t>
  </si>
  <si>
    <t>Prorážení otvorů a ostatní bourací práce</t>
  </si>
  <si>
    <t>978013191R00</t>
  </si>
  <si>
    <t>Otlučení omítek vnitřních stěn v rozsahu do 100 %</t>
  </si>
  <si>
    <t>S vyškrabáním spár, s očištěním zdiva. V položce není kalkulována manipulace se sutí, která se oceňuje samostatně položkami souboru 979.</t>
  </si>
  <si>
    <t>Celkem:</t>
  </si>
  <si>
    <t>Objekt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</si>
  <si>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</si>
  <si>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</si>
  <si>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</si>
  <si>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</si>
  <si>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</si>
  <si>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</si>
  <si>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</si>
  <si>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</si>
  <si>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</si>
  <si>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</si>
  <si>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</si>
  <si>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</si>
  <si>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</si>
  <si>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</si>
  <si>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</si>
  <si>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</si>
  <si>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</si>
  <si>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</si>
  <si>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</si>
  <si>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</si>
  <si>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</si>
  <si>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</si>
  <si>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</si>
  <si>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</si>
  <si>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</si>
  <si>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</si>
  <si>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</si>
  <si>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</si>
  <si>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</si>
  <si>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</si>
  <si>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</si>
  <si>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</si>
  <si>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</si>
  <si>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</si>
  <si>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</si>
  <si>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</si>
  <si>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</si>
  <si>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</si>
  <si>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</si>
  <si>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</si>
  <si>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</si>
  <si>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</si>
  <si>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</si>
  <si>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</si>
  <si>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</si>
  <si>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</si>
  <si>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</si>
  <si>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</si>
  <si>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</si>
  <si>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</si>
  <si>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</si>
  <si>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</si>
  <si>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</si>
  <si>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</si>
  <si>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</si>
  <si>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</si>
  <si>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</si>
  <si>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</si>
  <si>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Fojtství v Kopřivnici</t>
  </si>
  <si>
    <t> </t>
  </si>
  <si>
    <t>19.07.2024</t>
  </si>
  <si>
    <t>Cena/MJ</t>
  </si>
  <si>
    <t>Sazba DPH</t>
  </si>
  <si>
    <t>Náklady (Kč)</t>
  </si>
  <si>
    <t>Hmotnost (t)</t>
  </si>
  <si>
    <t>Cenová</t>
  </si>
  <si>
    <t>VATTAX</t>
  </si>
  <si>
    <t>(Kč)</t>
  </si>
  <si>
    <t>Dodávka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</si>
  <si>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</si>
  <si>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</si>
  <si>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</si>
  <si>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</si>
  <si>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</si>
  <si>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</si>
  <si>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</si>
  <si>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</si>
  <si>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</si>
  <si>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</si>
  <si>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</si>
  <si>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</si>
  <si>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</si>
  <si>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</si>
  <si>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</si>
  <si>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</si>
  <si>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</si>
  <si>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21</t>
  </si>
  <si>
    <t>11_</t>
  </si>
  <si>
    <t>1_</t>
  </si>
  <si>
    <t>_</t>
  </si>
  <si>
    <t>2</t>
  </si>
  <si>
    <t>13_</t>
  </si>
  <si>
    <t>3</t>
  </si>
  <si>
    <t>15_</t>
  </si>
  <si>
    <t>4</t>
  </si>
  <si>
    <t>5</t>
  </si>
  <si>
    <t>6</t>
  </si>
  <si>
    <t>7</t>
  </si>
  <si>
    <t>17_</t>
  </si>
  <si>
    <t>8</t>
  </si>
  <si>
    <t>31_</t>
  </si>
  <si>
    <t>3_</t>
  </si>
  <si>
    <t>9</t>
  </si>
  <si>
    <t>10</t>
  </si>
  <si>
    <t>59_</t>
  </si>
  <si>
    <t>5_</t>
  </si>
  <si>
    <t>60_</t>
  </si>
  <si>
    <t>6_</t>
  </si>
  <si>
    <t>12</t>
  </si>
  <si>
    <t>14</t>
  </si>
  <si>
    <t>62_</t>
  </si>
  <si>
    <t>16</t>
  </si>
  <si>
    <t>711_</t>
  </si>
  <si>
    <t>71_</t>
  </si>
  <si>
    <t>18</t>
  </si>
  <si>
    <t>19</t>
  </si>
  <si>
    <t>20</t>
  </si>
  <si>
    <t>22</t>
  </si>
  <si>
    <t>713_</t>
  </si>
  <si>
    <t>23</t>
  </si>
  <si>
    <t>97_</t>
  </si>
  <si>
    <t>9_</t>
  </si>
  <si>
    <t>Otlučení omítek stěn v rozsahu do 100 %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</si>
</sst>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</fills>
  <borders count="8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right" vertical="center"/>
    </xf>
    <xf numFmtId="4" fontId="3" fillId="3" borderId="13" xfId="0" applyNumberFormat="1" applyFont="1" applyFill="1" applyBorder="1" applyAlignment="1">
      <alignment horizontal="right" vertical="center"/>
    </xf>
    <xf numFmtId="0" fontId="3" fillId="3" borderId="14" xfId="0" applyFont="1" applyFill="1" applyBorder="1" applyAlignment="1">
      <alignment horizontal="left" vertical="center"/>
    </xf>
    <xf numFmtId="1" fontId="2" fillId="0" borderId="5" xfId="0" applyNumberFormat="1" applyFont="1" applyBorder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left" vertical="center"/>
    </xf>
    <xf numFmtId="0" fontId="0" fillId="0" borderId="6" xfId="0" applyBorder="1"/>
    <xf numFmtId="0" fontId="3" fillId="3" borderId="5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right" vertical="center"/>
    </xf>
    <xf numFmtId="4" fontId="3" fillId="3" borderId="0" xfId="0" applyNumberFormat="1" applyFont="1" applyFill="1" applyAlignment="1">
      <alignment horizontal="right" vertical="center"/>
    </xf>
    <xf numFmtId="0" fontId="3" fillId="3" borderId="6" xfId="0" applyFont="1" applyFill="1" applyBorder="1" applyAlignment="1">
      <alignment horizontal="left" vertical="center"/>
    </xf>
    <xf numFmtId="1" fontId="2" fillId="0" borderId="7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4" fontId="9" fillId="0" borderId="24" xfId="0" applyNumberFormat="1" applyFont="1" applyBorder="1" applyAlignment="1">
      <alignment horizontal="right" vertical="center"/>
    </xf>
    <xf numFmtId="0" fontId="8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right" vertical="center"/>
    </xf>
    <xf numFmtId="4" fontId="9" fillId="0" borderId="31" xfId="0" applyNumberFormat="1" applyFont="1" applyBorder="1" applyAlignment="1">
      <alignment horizontal="right" vertical="center"/>
    </xf>
    <xf numFmtId="0" fontId="9" fillId="0" borderId="31" xfId="0" applyFont="1" applyBorder="1" applyAlignment="1">
      <alignment horizontal="right" vertical="center"/>
    </xf>
    <xf numFmtId="4" fontId="9" fillId="0" borderId="22" xfId="0" applyNumberFormat="1" applyFont="1" applyBorder="1" applyAlignment="1">
      <alignment horizontal="right" vertical="center"/>
    </xf>
    <xf numFmtId="4" fontId="9" fillId="0" borderId="34" xfId="0" applyNumberFormat="1" applyFont="1" applyBorder="1" applyAlignment="1">
      <alignment horizontal="right" vertical="center"/>
    </xf>
    <xf numFmtId="4" fontId="8" fillId="3" borderId="21" xfId="0" applyNumberFormat="1" applyFont="1" applyFill="1" applyBorder="1" applyAlignment="1">
      <alignment horizontal="right" vertical="center"/>
    </xf>
    <xf numFmtId="4" fontId="8" fillId="3" borderId="26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left" vertical="center"/>
    </xf>
    <xf numFmtId="0" fontId="3" fillId="0" borderId="51" xfId="0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2" fillId="0" borderId="24" xfId="0" applyFont="1" applyBorder="1" applyAlignment="1">
      <alignment horizontal="left" vertical="center"/>
    </xf>
    <xf numFmtId="4" fontId="2" fillId="0" borderId="55" xfId="0" applyNumberFormat="1" applyFont="1" applyBorder="1" applyAlignment="1">
      <alignment horizontal="right" vertical="center"/>
    </xf>
    <xf numFmtId="0" fontId="2" fillId="0" borderId="55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59" xfId="0" applyFont="1" applyBorder="1" applyAlignment="1">
      <alignment horizontal="right" vertical="center"/>
    </xf>
    <xf numFmtId="4" fontId="3" fillId="0" borderId="59" xfId="0" applyNumberFormat="1" applyFont="1" applyBorder="1" applyAlignment="1">
      <alignment horizontal="right" vertical="center"/>
    </xf>
    <xf numFmtId="0" fontId="3" fillId="0" borderId="61" xfId="0" applyFont="1" applyBorder="1" applyAlignment="1">
      <alignment horizontal="left" vertical="center"/>
    </xf>
    <xf numFmtId="0" fontId="3" fillId="0" borderId="62" xfId="0" applyFont="1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70" xfId="0" applyFont="1" applyBorder="1" applyAlignment="1">
      <alignment horizontal="left" vertical="center"/>
    </xf>
    <xf numFmtId="0" fontId="2" fillId="0" borderId="71" xfId="0" applyFont="1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2" fillId="0" borderId="75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80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3" fillId="3" borderId="6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4" fontId="3" fillId="0" borderId="81" xfId="0" applyNumberFormat="1" applyFont="1" applyBorder="1" applyAlignment="1">
      <alignment horizontal="right" vertical="center"/>
    </xf>
    <xf numFmtId="4" fontId="2" fillId="4" borderId="0" xfId="0" applyNumberFormat="1" applyFont="1" applyFill="1" applyAlignment="1">
      <alignment horizontal="right" vertical="center"/>
    </xf>
    <xf numFmtId="4" fontId="2" fillId="4" borderId="8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3" borderId="33" xfId="0" applyFont="1" applyFill="1" applyBorder="1" applyAlignment="1">
      <alignment horizontal="left" vertical="center"/>
    </xf>
    <xf numFmtId="0" fontId="8" fillId="3" borderId="35" xfId="0" applyFont="1" applyFill="1" applyBorder="1" applyAlignment="1">
      <alignment horizontal="left" vertical="center"/>
    </xf>
    <xf numFmtId="0" fontId="8" fillId="3" borderId="28" xfId="0" applyFont="1" applyFill="1" applyBorder="1" applyAlignment="1">
      <alignment horizontal="left" vertical="center"/>
    </xf>
    <xf numFmtId="0" fontId="8" fillId="3" borderId="36" xfId="0" applyFont="1" applyFill="1" applyBorder="1" applyAlignment="1">
      <alignment horizontal="left" vertical="center"/>
    </xf>
    <xf numFmtId="0" fontId="8" fillId="3" borderId="20" xfId="0" applyFont="1" applyFill="1" applyBorder="1" applyAlignment="1">
      <alignment horizontal="left" vertical="center"/>
    </xf>
    <xf numFmtId="0" fontId="8" fillId="3" borderId="25" xfId="0" applyFont="1" applyFill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8" fillId="0" borderId="56" xfId="0" applyFont="1" applyBorder="1" applyAlignment="1">
      <alignment horizontal="left" vertical="center"/>
    </xf>
    <xf numFmtId="0" fontId="8" fillId="0" borderId="57" xfId="0" applyFont="1" applyBorder="1" applyAlignment="1">
      <alignment horizontal="left" vertical="center"/>
    </xf>
    <xf numFmtId="0" fontId="8" fillId="0" borderId="58" xfId="0" applyFont="1" applyBorder="1" applyAlignment="1">
      <alignment horizontal="left" vertical="center"/>
    </xf>
    <xf numFmtId="4" fontId="8" fillId="0" borderId="60" xfId="0" applyNumberFormat="1" applyFont="1" applyBorder="1" applyAlignment="1">
      <alignment horizontal="right" vertical="center"/>
    </xf>
    <xf numFmtId="0" fontId="8" fillId="0" borderId="57" xfId="0" applyFont="1" applyBorder="1" applyAlignment="1">
      <alignment horizontal="right" vertical="center"/>
    </xf>
    <xf numFmtId="0" fontId="8" fillId="0" borderId="58" xfId="0" applyFont="1" applyBorder="1" applyAlignment="1">
      <alignment horizontal="right" vertical="center"/>
    </xf>
    <xf numFmtId="0" fontId="8" fillId="0" borderId="16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3" fillId="0" borderId="8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65"/>
  <sheetViews>
    <sheetView tabSelected="1" zoomScale="80" zoomScaleNormal="80" workbookViewId="0">
      <pane ySplit="10" topLeftCell="A11" activePane="bottomLeft" state="frozen"/>
      <selection pane="bottomLeft" activeCell="H22" sqref="H22"/>
    </sheetView>
  </sheetViews>
  <sheetFormatPr defaultColWidth="12.140625" defaultRowHeight="15" customHeight="1" x14ac:dyDescent="0.25"/>
  <cols>
    <col min="1" max="1" width="4.28515625" customWidth="1"/>
    <col min="2" max="2" width="17.140625" customWidth="1"/>
    <col min="3" max="3" width="71.42578125" customWidth="1"/>
    <col min="4" max="4" width="30.140625" customWidth="1"/>
    <col min="5" max="5" width="12" customWidth="1"/>
    <col min="6" max="6" width="33.140625" customWidth="1"/>
    <col min="7" max="7" width="12.85546875" customWidth="1"/>
    <col min="8" max="8" width="16.7109375" customWidth="1"/>
    <col min="9" max="9" width="22.85546875" customWidth="1"/>
    <col min="10" max="10" width="71.42578125" customWidth="1"/>
    <col min="11" max="11" width="18.5703125" customWidth="1"/>
    <col min="230" max="231" width="12.140625" hidden="1"/>
    <col min="251" max="254" width="12.140625" hidden="1"/>
  </cols>
  <sheetData>
    <row r="1" spans="1:253" ht="54.75" customHeight="1" x14ac:dyDescent="0.25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253" x14ac:dyDescent="0.25">
      <c r="A2" s="99" t="s">
        <v>1</v>
      </c>
      <c r="B2" s="91"/>
      <c r="C2" s="102" t="str">
        <f>'Stavební rozpočet'!D2</f>
        <v>Fojtství v Kopřivnici</v>
      </c>
      <c r="D2" s="91" t="s">
        <v>2</v>
      </c>
      <c r="E2" s="90" t="str">
        <f>'Stavební rozpočet'!H2</f>
        <v xml:space="preserve"> </v>
      </c>
      <c r="F2" s="90" t="s">
        <v>3</v>
      </c>
      <c r="G2" s="90" t="str">
        <f>'Stavební rozpočet'!K2</f>
        <v> </v>
      </c>
      <c r="H2" s="91"/>
      <c r="I2" s="91"/>
      <c r="J2" s="91"/>
      <c r="K2" s="92"/>
    </row>
    <row r="3" spans="1:253" ht="15" customHeight="1" x14ac:dyDescent="0.25">
      <c r="A3" s="88"/>
      <c r="B3" s="89"/>
      <c r="C3" s="103"/>
      <c r="D3" s="89"/>
      <c r="E3" s="89"/>
      <c r="F3" s="89"/>
      <c r="G3" s="89"/>
      <c r="H3" s="89"/>
      <c r="I3" s="89"/>
      <c r="J3" s="89"/>
      <c r="K3" s="93"/>
    </row>
    <row r="4" spans="1:253" x14ac:dyDescent="0.25">
      <c r="A4" s="100" t="s">
        <v>4</v>
      </c>
      <c r="B4" s="89"/>
      <c r="C4" s="95" t="str">
        <f>'Stavební rozpočet'!D4</f>
        <v xml:space="preserve"> </v>
      </c>
      <c r="D4" s="89" t="s">
        <v>5</v>
      </c>
      <c r="E4" s="95" t="str">
        <f>'Stavební rozpočet'!H4</f>
        <v>19.07.2024</v>
      </c>
      <c r="F4" s="95" t="s">
        <v>6</v>
      </c>
      <c r="G4" s="94"/>
      <c r="H4" s="89"/>
      <c r="I4" s="89"/>
      <c r="J4" s="89"/>
      <c r="K4" s="93"/>
    </row>
    <row r="5" spans="1:253" ht="15" customHeight="1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93"/>
    </row>
    <row r="6" spans="1:253" x14ac:dyDescent="0.25">
      <c r="A6" s="100" t="s">
        <v>7</v>
      </c>
      <c r="B6" s="89"/>
      <c r="C6" s="95" t="str">
        <f>'Stavební rozpočet'!D6</f>
        <v xml:space="preserve"> </v>
      </c>
      <c r="D6" s="89" t="s">
        <v>8</v>
      </c>
      <c r="E6" s="95" t="str">
        <f>'Stavební rozpočet'!H6</f>
        <v xml:space="preserve"> </v>
      </c>
      <c r="F6" s="95" t="s">
        <v>9</v>
      </c>
      <c r="G6" s="95" t="str">
        <f>'Stavební rozpočet'!K6</f>
        <v> </v>
      </c>
      <c r="H6" s="89"/>
      <c r="I6" s="89"/>
      <c r="J6" s="89"/>
      <c r="K6" s="93"/>
    </row>
    <row r="7" spans="1:253" ht="15" customHeight="1" x14ac:dyDescent="0.25">
      <c r="A7" s="88"/>
      <c r="B7" s="89"/>
      <c r="C7" s="89"/>
      <c r="D7" s="89"/>
      <c r="E7" s="89"/>
      <c r="F7" s="89"/>
      <c r="G7" s="89"/>
      <c r="H7" s="89"/>
      <c r="I7" s="89"/>
      <c r="J7" s="89"/>
      <c r="K7" s="93"/>
    </row>
    <row r="8" spans="1:253" x14ac:dyDescent="0.25">
      <c r="A8" s="100" t="s">
        <v>10</v>
      </c>
      <c r="B8" s="89"/>
      <c r="C8" s="95" t="str">
        <f>'Stavební rozpočet'!D8</f>
        <v xml:space="preserve"> </v>
      </c>
      <c r="D8" s="89" t="s">
        <v>11</v>
      </c>
      <c r="E8" s="95" t="str">
        <f>'Stavební rozpočet'!H8</f>
        <v>19.07.2024</v>
      </c>
      <c r="F8" s="95" t="s">
        <v>12</v>
      </c>
      <c r="G8" s="95" t="str">
        <f>'Stavební rozpočet'!K8</f>
        <v> </v>
      </c>
      <c r="H8" s="89"/>
      <c r="I8" s="89"/>
      <c r="J8" s="89"/>
      <c r="K8" s="93"/>
    </row>
    <row r="9" spans="1:253" x14ac:dyDescent="0.25">
      <c r="A9" s="101"/>
      <c r="B9" s="96"/>
      <c r="C9" s="96"/>
      <c r="D9" s="96"/>
      <c r="E9" s="96"/>
      <c r="F9" s="96"/>
      <c r="G9" s="96"/>
      <c r="H9" s="96"/>
      <c r="I9" s="96"/>
      <c r="J9" s="96"/>
      <c r="K9" s="97"/>
    </row>
    <row r="10" spans="1:253" x14ac:dyDescent="0.25">
      <c r="A10" s="9" t="s">
        <v>13</v>
      </c>
      <c r="B10" s="9" t="s">
        <v>14</v>
      </c>
      <c r="C10" s="9" t="s">
        <v>15</v>
      </c>
      <c r="D10" s="9" t="s">
        <v>16</v>
      </c>
      <c r="E10" s="9" t="s">
        <v>17</v>
      </c>
      <c r="F10" s="9" t="s">
        <v>18</v>
      </c>
      <c r="G10" s="9" t="s">
        <v>19</v>
      </c>
      <c r="H10" s="9" t="s">
        <v>20</v>
      </c>
      <c r="I10" s="9" t="s">
        <v>21</v>
      </c>
      <c r="J10" s="9" t="s">
        <v>22</v>
      </c>
      <c r="K10" s="10" t="s">
        <v>23</v>
      </c>
      <c r="HV10" s="11" t="s">
        <v>24</v>
      </c>
      <c r="HW10" s="11" t="s">
        <v>25</v>
      </c>
    </row>
    <row r="11" spans="1:253" x14ac:dyDescent="0.25">
      <c r="A11" s="12" t="s">
        <v>26</v>
      </c>
      <c r="B11" s="13" t="s">
        <v>27</v>
      </c>
      <c r="C11" s="14" t="s">
        <v>28</v>
      </c>
      <c r="D11" s="13" t="s">
        <v>26</v>
      </c>
      <c r="E11" s="13" t="s">
        <v>26</v>
      </c>
      <c r="F11" s="13" t="s">
        <v>26</v>
      </c>
      <c r="G11" s="15" t="s">
        <v>26</v>
      </c>
      <c r="H11" s="15" t="s">
        <v>26</v>
      </c>
      <c r="I11" s="16">
        <f>SUM(I12:I13)</f>
        <v>0</v>
      </c>
      <c r="J11" s="13" t="s">
        <v>26</v>
      </c>
      <c r="K11" s="17" t="s">
        <v>26</v>
      </c>
    </row>
    <row r="12" spans="1:253" ht="54" customHeight="1" x14ac:dyDescent="0.25">
      <c r="A12" s="18">
        <v>1</v>
      </c>
      <c r="B12" s="2" t="s">
        <v>29</v>
      </c>
      <c r="C12" s="5" t="s">
        <v>30</v>
      </c>
      <c r="D12" s="5" t="s">
        <v>31</v>
      </c>
      <c r="E12" s="2" t="s">
        <v>32</v>
      </c>
      <c r="F12" s="2" t="s">
        <v>31</v>
      </c>
      <c r="G12" s="19">
        <v>3.06</v>
      </c>
      <c r="H12" s="85"/>
      <c r="I12" s="19">
        <f>IR12*G12+IS12*G12</f>
        <v>0</v>
      </c>
      <c r="J12" s="5" t="s">
        <v>33</v>
      </c>
      <c r="K12" s="4" t="s">
        <v>34</v>
      </c>
      <c r="HV12" s="2" t="s">
        <v>27</v>
      </c>
      <c r="HW12" s="2" t="s">
        <v>35</v>
      </c>
      <c r="IR12" s="20">
        <f>H12*0</f>
        <v>0</v>
      </c>
      <c r="IS12" s="20">
        <f>H12*(1-0)</f>
        <v>0</v>
      </c>
    </row>
    <row r="13" spans="1:253" x14ac:dyDescent="0.25">
      <c r="A13" s="88" t="s">
        <v>31</v>
      </c>
      <c r="B13" s="89"/>
      <c r="C13" s="89"/>
      <c r="D13" s="89"/>
      <c r="E13" s="89"/>
      <c r="F13" s="2" t="s">
        <v>36</v>
      </c>
      <c r="G13" s="19">
        <v>3.06</v>
      </c>
      <c r="H13" s="87"/>
      <c r="K13" s="21"/>
      <c r="HV13" s="2" t="s">
        <v>27</v>
      </c>
      <c r="HW13" s="2" t="s">
        <v>35</v>
      </c>
      <c r="IR13" s="20">
        <f>H13*0</f>
        <v>0</v>
      </c>
      <c r="IS13" s="20">
        <f>H13*(1-0)</f>
        <v>0</v>
      </c>
    </row>
    <row r="14" spans="1:253" x14ac:dyDescent="0.25">
      <c r="A14" s="22" t="s">
        <v>26</v>
      </c>
      <c r="B14" s="23" t="s">
        <v>37</v>
      </c>
      <c r="C14" s="24" t="s">
        <v>38</v>
      </c>
      <c r="D14" s="23" t="s">
        <v>26</v>
      </c>
      <c r="E14" s="23" t="s">
        <v>26</v>
      </c>
      <c r="F14" s="23" t="s">
        <v>26</v>
      </c>
      <c r="G14" s="25" t="s">
        <v>26</v>
      </c>
      <c r="H14" s="25" t="s">
        <v>26</v>
      </c>
      <c r="I14" s="26">
        <f>SUM(I15:I17)</f>
        <v>0</v>
      </c>
      <c r="J14" s="23" t="s">
        <v>26</v>
      </c>
      <c r="K14" s="27" t="s">
        <v>26</v>
      </c>
    </row>
    <row r="15" spans="1:253" ht="12.75" customHeight="1" x14ac:dyDescent="0.25">
      <c r="A15" s="18">
        <v>2</v>
      </c>
      <c r="B15" s="2" t="s">
        <v>39</v>
      </c>
      <c r="C15" s="5" t="s">
        <v>40</v>
      </c>
      <c r="D15" s="5" t="s">
        <v>31</v>
      </c>
      <c r="E15" s="2" t="s">
        <v>32</v>
      </c>
      <c r="F15" s="2" t="s">
        <v>31</v>
      </c>
      <c r="G15" s="19">
        <v>22.66</v>
      </c>
      <c r="H15" s="85"/>
      <c r="I15" s="19">
        <f>IR15*G15+IS15*G15</f>
        <v>0</v>
      </c>
      <c r="J15" s="5" t="s">
        <v>31</v>
      </c>
      <c r="K15" s="4" t="s">
        <v>34</v>
      </c>
      <c r="HV15" s="2" t="s">
        <v>37</v>
      </c>
      <c r="HW15" s="2" t="s">
        <v>35</v>
      </c>
      <c r="IR15" s="20">
        <f>H15*0</f>
        <v>0</v>
      </c>
      <c r="IS15" s="20">
        <f>H15*(1-0)</f>
        <v>0</v>
      </c>
    </row>
    <row r="16" spans="1:253" x14ac:dyDescent="0.25">
      <c r="A16" s="88" t="s">
        <v>31</v>
      </c>
      <c r="B16" s="89"/>
      <c r="C16" s="89"/>
      <c r="D16" s="89"/>
      <c r="E16" s="89"/>
      <c r="F16" s="2" t="s">
        <v>41</v>
      </c>
      <c r="G16" s="19">
        <v>16.64</v>
      </c>
      <c r="H16" s="87"/>
      <c r="K16" s="21"/>
      <c r="HV16" s="2" t="s">
        <v>37</v>
      </c>
      <c r="HW16" s="2" t="s">
        <v>35</v>
      </c>
      <c r="IR16" s="20">
        <f>H16*0</f>
        <v>0</v>
      </c>
      <c r="IS16" s="20">
        <f>H16*(1-0)</f>
        <v>0</v>
      </c>
    </row>
    <row r="17" spans="1:253" x14ac:dyDescent="0.25">
      <c r="A17" s="88" t="s">
        <v>31</v>
      </c>
      <c r="B17" s="89"/>
      <c r="C17" s="89"/>
      <c r="D17" s="89"/>
      <c r="E17" s="89"/>
      <c r="F17" s="2" t="s">
        <v>42</v>
      </c>
      <c r="G17" s="19">
        <v>6.02</v>
      </c>
      <c r="H17" s="87"/>
      <c r="K17" s="21"/>
      <c r="HV17" s="2" t="s">
        <v>37</v>
      </c>
      <c r="HW17" s="2" t="s">
        <v>35</v>
      </c>
      <c r="IR17" s="20">
        <f>H17*0</f>
        <v>0</v>
      </c>
      <c r="IS17" s="20">
        <f>H17*(1-0)</f>
        <v>0</v>
      </c>
    </row>
    <row r="18" spans="1:253" x14ac:dyDescent="0.25">
      <c r="A18" s="22" t="s">
        <v>26</v>
      </c>
      <c r="B18" s="23" t="s">
        <v>43</v>
      </c>
      <c r="C18" s="24" t="s">
        <v>44</v>
      </c>
      <c r="D18" s="23" t="s">
        <v>26</v>
      </c>
      <c r="E18" s="23" t="s">
        <v>26</v>
      </c>
      <c r="F18" s="23" t="s">
        <v>26</v>
      </c>
      <c r="G18" s="25" t="s">
        <v>26</v>
      </c>
      <c r="H18" s="25" t="s">
        <v>26</v>
      </c>
      <c r="I18" s="26">
        <f>SUM(I19:I23)</f>
        <v>0</v>
      </c>
      <c r="J18" s="23" t="s">
        <v>26</v>
      </c>
      <c r="K18" s="27" t="s">
        <v>26</v>
      </c>
    </row>
    <row r="19" spans="1:253" ht="27" customHeight="1" x14ac:dyDescent="0.25">
      <c r="A19" s="18">
        <v>3</v>
      </c>
      <c r="B19" s="2" t="s">
        <v>45</v>
      </c>
      <c r="C19" s="5" t="s">
        <v>46</v>
      </c>
      <c r="D19" s="5" t="s">
        <v>31</v>
      </c>
      <c r="E19" s="2" t="s">
        <v>47</v>
      </c>
      <c r="F19" s="2" t="s">
        <v>31</v>
      </c>
      <c r="G19" s="19">
        <v>16.64</v>
      </c>
      <c r="H19" s="85"/>
      <c r="I19" s="19">
        <f>IR19*G19+IS19*G19</f>
        <v>0</v>
      </c>
      <c r="J19" s="5" t="s">
        <v>48</v>
      </c>
      <c r="K19" s="4" t="s">
        <v>34</v>
      </c>
      <c r="HV19" s="2" t="s">
        <v>43</v>
      </c>
      <c r="HW19" s="2" t="s">
        <v>35</v>
      </c>
      <c r="IR19" s="20">
        <f>H19*0.173781513</f>
        <v>0</v>
      </c>
      <c r="IS19" s="20">
        <f>H19*(1-0.173781513)</f>
        <v>0</v>
      </c>
    </row>
    <row r="20" spans="1:253" x14ac:dyDescent="0.25">
      <c r="A20" s="88" t="s">
        <v>31</v>
      </c>
      <c r="B20" s="89"/>
      <c r="C20" s="89"/>
      <c r="D20" s="89"/>
      <c r="E20" s="89"/>
      <c r="F20" s="2" t="s">
        <v>49</v>
      </c>
      <c r="G20" s="19">
        <v>16.64</v>
      </c>
      <c r="H20" s="87"/>
      <c r="K20" s="21"/>
      <c r="HV20" s="2" t="s">
        <v>43</v>
      </c>
      <c r="HW20" s="2" t="s">
        <v>35</v>
      </c>
      <c r="IR20" s="20">
        <f>H20*0.173781513</f>
        <v>0</v>
      </c>
      <c r="IS20" s="20">
        <f>H20*(1-0.173781513)</f>
        <v>0</v>
      </c>
    </row>
    <row r="21" spans="1:253" ht="12.75" customHeight="1" x14ac:dyDescent="0.25">
      <c r="A21" s="18">
        <v>4</v>
      </c>
      <c r="B21" s="2" t="s">
        <v>50</v>
      </c>
      <c r="C21" s="5" t="s">
        <v>51</v>
      </c>
      <c r="D21" s="5" t="s">
        <v>31</v>
      </c>
      <c r="E21" s="2" t="s">
        <v>47</v>
      </c>
      <c r="F21" s="2" t="s">
        <v>31</v>
      </c>
      <c r="G21" s="19">
        <v>16.64</v>
      </c>
      <c r="H21" s="85"/>
      <c r="I21" s="19">
        <f>IR21*G21+IS21*G21</f>
        <v>0</v>
      </c>
      <c r="J21" s="5" t="s">
        <v>31</v>
      </c>
      <c r="K21" s="4" t="s">
        <v>34</v>
      </c>
      <c r="HV21" s="2" t="s">
        <v>43</v>
      </c>
      <c r="HW21" s="2" t="s">
        <v>35</v>
      </c>
      <c r="IR21" s="20">
        <f>H21*0</f>
        <v>0</v>
      </c>
      <c r="IS21" s="20">
        <f>H21*(1-0)</f>
        <v>0</v>
      </c>
    </row>
    <row r="22" spans="1:253" ht="27" customHeight="1" x14ac:dyDescent="0.25">
      <c r="A22" s="18">
        <v>5</v>
      </c>
      <c r="B22" s="2" t="s">
        <v>52</v>
      </c>
      <c r="C22" s="5" t="s">
        <v>53</v>
      </c>
      <c r="D22" s="5" t="s">
        <v>31</v>
      </c>
      <c r="E22" s="2" t="s">
        <v>47</v>
      </c>
      <c r="F22" s="2" t="s">
        <v>31</v>
      </c>
      <c r="G22" s="19">
        <v>16.64</v>
      </c>
      <c r="H22" s="85"/>
      <c r="I22" s="19">
        <f>IR22*G22+IS22*G22</f>
        <v>0</v>
      </c>
      <c r="J22" s="5" t="s">
        <v>54</v>
      </c>
      <c r="K22" s="4" t="s">
        <v>34</v>
      </c>
      <c r="HV22" s="2" t="s">
        <v>43</v>
      </c>
      <c r="HW22" s="2" t="s">
        <v>35</v>
      </c>
      <c r="IR22" s="20">
        <f>H22*0.039345633</f>
        <v>0</v>
      </c>
      <c r="IS22" s="20">
        <f>H22*(1-0.039345633)</f>
        <v>0</v>
      </c>
    </row>
    <row r="23" spans="1:253" ht="12.75" customHeight="1" x14ac:dyDescent="0.25">
      <c r="A23" s="18">
        <v>6</v>
      </c>
      <c r="B23" s="2" t="s">
        <v>55</v>
      </c>
      <c r="C23" s="5" t="s">
        <v>56</v>
      </c>
      <c r="D23" s="5" t="s">
        <v>31</v>
      </c>
      <c r="E23" s="2" t="s">
        <v>47</v>
      </c>
      <c r="F23" s="2" t="s">
        <v>31</v>
      </c>
      <c r="G23" s="19">
        <v>16.64</v>
      </c>
      <c r="H23" s="85"/>
      <c r="I23" s="19">
        <f>IR23*G23+IS23*G23</f>
        <v>0</v>
      </c>
      <c r="J23" s="5" t="s">
        <v>31</v>
      </c>
      <c r="K23" s="4" t="s">
        <v>34</v>
      </c>
      <c r="HV23" s="2" t="s">
        <v>43</v>
      </c>
      <c r="HW23" s="2" t="s">
        <v>35</v>
      </c>
      <c r="IR23" s="20">
        <f>H23*0</f>
        <v>0</v>
      </c>
      <c r="IS23" s="20">
        <f>H23*(1-0)</f>
        <v>0</v>
      </c>
    </row>
    <row r="24" spans="1:253" x14ac:dyDescent="0.25">
      <c r="A24" s="22" t="s">
        <v>26</v>
      </c>
      <c r="B24" s="23" t="s">
        <v>57</v>
      </c>
      <c r="C24" s="24" t="s">
        <v>58</v>
      </c>
      <c r="D24" s="23" t="s">
        <v>26</v>
      </c>
      <c r="E24" s="23" t="s">
        <v>26</v>
      </c>
      <c r="F24" s="23" t="s">
        <v>26</v>
      </c>
      <c r="G24" s="25" t="s">
        <v>26</v>
      </c>
      <c r="H24" s="25" t="s">
        <v>26</v>
      </c>
      <c r="I24" s="26">
        <f>SUM(I25:I25)</f>
        <v>0</v>
      </c>
      <c r="J24" s="23" t="s">
        <v>26</v>
      </c>
      <c r="K24" s="27" t="s">
        <v>26</v>
      </c>
    </row>
    <row r="25" spans="1:253" ht="54" customHeight="1" x14ac:dyDescent="0.25">
      <c r="A25" s="18">
        <v>7</v>
      </c>
      <c r="B25" s="2" t="s">
        <v>59</v>
      </c>
      <c r="C25" s="5" t="s">
        <v>60</v>
      </c>
      <c r="D25" s="5" t="s">
        <v>31</v>
      </c>
      <c r="E25" s="2" t="s">
        <v>32</v>
      </c>
      <c r="F25" s="2" t="s">
        <v>31</v>
      </c>
      <c r="G25" s="19">
        <v>16.64</v>
      </c>
      <c r="H25" s="85"/>
      <c r="I25" s="19">
        <f>IR25*G25+IS25*G25</f>
        <v>0</v>
      </c>
      <c r="J25" s="5" t="s">
        <v>61</v>
      </c>
      <c r="K25" s="4" t="s">
        <v>34</v>
      </c>
      <c r="HV25" s="2" t="s">
        <v>57</v>
      </c>
      <c r="HW25" s="2" t="s">
        <v>35</v>
      </c>
      <c r="IR25" s="20">
        <f>H25*0</f>
        <v>0</v>
      </c>
      <c r="IS25" s="20">
        <f>H25*(1-0)</f>
        <v>0</v>
      </c>
    </row>
    <row r="26" spans="1:253" x14ac:dyDescent="0.25">
      <c r="A26" s="22" t="s">
        <v>26</v>
      </c>
      <c r="B26" s="23" t="s">
        <v>62</v>
      </c>
      <c r="C26" s="24" t="s">
        <v>63</v>
      </c>
      <c r="D26" s="23" t="s">
        <v>26</v>
      </c>
      <c r="E26" s="23" t="s">
        <v>26</v>
      </c>
      <c r="F26" s="23" t="s">
        <v>26</v>
      </c>
      <c r="G26" s="25" t="s">
        <v>26</v>
      </c>
      <c r="H26" s="25" t="s">
        <v>26</v>
      </c>
      <c r="I26" s="26">
        <f>SUM(I27:I32)</f>
        <v>0</v>
      </c>
      <c r="J26" s="23" t="s">
        <v>26</v>
      </c>
      <c r="K26" s="27" t="s">
        <v>26</v>
      </c>
    </row>
    <row r="27" spans="1:253" ht="27" customHeight="1" x14ac:dyDescent="0.25">
      <c r="A27" s="18">
        <v>8</v>
      </c>
      <c r="B27" s="2" t="s">
        <v>64</v>
      </c>
      <c r="C27" s="5" t="s">
        <v>65</v>
      </c>
      <c r="D27" s="5" t="s">
        <v>66</v>
      </c>
      <c r="E27" s="2" t="s">
        <v>47</v>
      </c>
      <c r="F27" s="2" t="s">
        <v>31</v>
      </c>
      <c r="G27" s="19">
        <v>32.24</v>
      </c>
      <c r="H27" s="85"/>
      <c r="I27" s="19">
        <f>IR27*G27+IS27*G27</f>
        <v>0</v>
      </c>
      <c r="J27" s="5" t="s">
        <v>67</v>
      </c>
      <c r="K27" s="4" t="s">
        <v>34</v>
      </c>
      <c r="HV27" s="2" t="s">
        <v>62</v>
      </c>
      <c r="HW27" s="2" t="s">
        <v>35</v>
      </c>
      <c r="IR27" s="20">
        <f>H27*0.75522003</f>
        <v>0</v>
      </c>
      <c r="IS27" s="20">
        <f>H27*(1-0.75522003)</f>
        <v>0</v>
      </c>
    </row>
    <row r="28" spans="1:253" x14ac:dyDescent="0.25">
      <c r="A28" s="88" t="s">
        <v>31</v>
      </c>
      <c r="B28" s="89"/>
      <c r="C28" s="89"/>
      <c r="D28" s="89"/>
      <c r="E28" s="89"/>
      <c r="F28" s="2" t="s">
        <v>68</v>
      </c>
      <c r="G28" s="19">
        <v>20.48</v>
      </c>
      <c r="H28" s="87"/>
      <c r="K28" s="21"/>
      <c r="HV28" s="2" t="s">
        <v>62</v>
      </c>
      <c r="HW28" s="2" t="s">
        <v>35</v>
      </c>
      <c r="IR28" s="20">
        <f>H28*0.75522003</f>
        <v>0</v>
      </c>
      <c r="IS28" s="20">
        <f>H28*(1-0.75522003)</f>
        <v>0</v>
      </c>
    </row>
    <row r="29" spans="1:253" x14ac:dyDescent="0.25">
      <c r="A29" s="88" t="s">
        <v>31</v>
      </c>
      <c r="B29" s="89"/>
      <c r="C29" s="89"/>
      <c r="D29" s="89"/>
      <c r="E29" s="89"/>
      <c r="F29" s="2" t="s">
        <v>69</v>
      </c>
      <c r="G29" s="19">
        <v>11.76</v>
      </c>
      <c r="H29" s="87"/>
      <c r="K29" s="21"/>
      <c r="HV29" s="2" t="s">
        <v>62</v>
      </c>
      <c r="HW29" s="2" t="s">
        <v>35</v>
      </c>
      <c r="IR29" s="20">
        <f>H29*0.75522003</f>
        <v>0</v>
      </c>
      <c r="IS29" s="20">
        <f>H29*(1-0.75522003)</f>
        <v>0</v>
      </c>
    </row>
    <row r="30" spans="1:253" ht="12.75" customHeight="1" x14ac:dyDescent="0.25">
      <c r="A30" s="18">
        <v>9</v>
      </c>
      <c r="B30" s="2" t="s">
        <v>70</v>
      </c>
      <c r="C30" s="5" t="s">
        <v>71</v>
      </c>
      <c r="D30" s="5" t="s">
        <v>66</v>
      </c>
      <c r="E30" s="2" t="s">
        <v>72</v>
      </c>
      <c r="F30" s="2" t="s">
        <v>31</v>
      </c>
      <c r="G30" s="19">
        <v>29.6</v>
      </c>
      <c r="H30" s="85"/>
      <c r="I30" s="19">
        <f>IR30*G30+IS30*G30</f>
        <v>0</v>
      </c>
      <c r="J30" s="5" t="s">
        <v>31</v>
      </c>
      <c r="K30" s="4" t="s">
        <v>34</v>
      </c>
      <c r="HV30" s="2" t="s">
        <v>62</v>
      </c>
      <c r="HW30" s="2" t="s">
        <v>35</v>
      </c>
      <c r="IR30" s="20">
        <f>H30*0.415933556</f>
        <v>0</v>
      </c>
      <c r="IS30" s="20">
        <f>H30*(1-0.415933556)</f>
        <v>0</v>
      </c>
    </row>
    <row r="31" spans="1:253" x14ac:dyDescent="0.25">
      <c r="A31" s="88" t="s">
        <v>31</v>
      </c>
      <c r="B31" s="89"/>
      <c r="C31" s="89"/>
      <c r="D31" s="89"/>
      <c r="E31" s="89"/>
      <c r="F31" s="2" t="s">
        <v>73</v>
      </c>
      <c r="G31" s="19">
        <v>12.8</v>
      </c>
      <c r="H31" s="87"/>
      <c r="K31" s="21"/>
      <c r="HV31" s="2" t="s">
        <v>62</v>
      </c>
      <c r="HW31" s="2" t="s">
        <v>35</v>
      </c>
      <c r="IR31" s="20">
        <f>H31*0.415933556</f>
        <v>0</v>
      </c>
      <c r="IS31" s="20">
        <f>H31*(1-0.415933556)</f>
        <v>0</v>
      </c>
    </row>
    <row r="32" spans="1:253" x14ac:dyDescent="0.25">
      <c r="A32" s="88" t="s">
        <v>31</v>
      </c>
      <c r="B32" s="89"/>
      <c r="C32" s="89"/>
      <c r="D32" s="89"/>
      <c r="E32" s="89"/>
      <c r="F32" s="2" t="s">
        <v>74</v>
      </c>
      <c r="G32" s="19">
        <v>16.8</v>
      </c>
      <c r="H32" s="87"/>
      <c r="K32" s="21"/>
      <c r="HV32" s="2" t="s">
        <v>62</v>
      </c>
      <c r="HW32" s="2" t="s">
        <v>35</v>
      </c>
      <c r="IR32" s="20">
        <f>H32*0.415933556</f>
        <v>0</v>
      </c>
      <c r="IS32" s="20">
        <f>H32*(1-0.415933556)</f>
        <v>0</v>
      </c>
    </row>
    <row r="33" spans="1:253" x14ac:dyDescent="0.25">
      <c r="A33" s="22" t="s">
        <v>26</v>
      </c>
      <c r="B33" s="23" t="s">
        <v>75</v>
      </c>
      <c r="C33" s="24" t="s">
        <v>76</v>
      </c>
      <c r="D33" s="23" t="s">
        <v>26</v>
      </c>
      <c r="E33" s="23" t="s">
        <v>26</v>
      </c>
      <c r="F33" s="23" t="s">
        <v>26</v>
      </c>
      <c r="G33" s="25" t="s">
        <v>26</v>
      </c>
      <c r="H33" s="25" t="s">
        <v>26</v>
      </c>
      <c r="I33" s="26">
        <f>SUM(I34:I35)</f>
        <v>0</v>
      </c>
      <c r="J33" s="23" t="s">
        <v>26</v>
      </c>
      <c r="K33" s="27" t="s">
        <v>26</v>
      </c>
    </row>
    <row r="34" spans="1:253" ht="12.75" customHeight="1" x14ac:dyDescent="0.25">
      <c r="A34" s="18">
        <v>10</v>
      </c>
      <c r="B34" s="2" t="s">
        <v>77</v>
      </c>
      <c r="C34" s="5" t="s">
        <v>78</v>
      </c>
      <c r="D34" s="5" t="s">
        <v>79</v>
      </c>
      <c r="E34" s="2" t="s">
        <v>47</v>
      </c>
      <c r="F34" s="2" t="s">
        <v>31</v>
      </c>
      <c r="G34" s="19">
        <v>3.06</v>
      </c>
      <c r="H34" s="85"/>
      <c r="I34" s="19">
        <f>IR34*G34+IS34*G34</f>
        <v>0</v>
      </c>
      <c r="J34" s="5" t="s">
        <v>31</v>
      </c>
      <c r="K34" s="4" t="s">
        <v>34</v>
      </c>
      <c r="HV34" s="2" t="s">
        <v>75</v>
      </c>
      <c r="HW34" s="2" t="s">
        <v>35</v>
      </c>
      <c r="IR34" s="20">
        <f>H34*0.631779264</f>
        <v>0</v>
      </c>
      <c r="IS34" s="20">
        <f>H34*(1-0.631779264)</f>
        <v>0</v>
      </c>
    </row>
    <row r="35" spans="1:253" x14ac:dyDescent="0.25">
      <c r="A35" s="88" t="s">
        <v>31</v>
      </c>
      <c r="B35" s="89"/>
      <c r="C35" s="89"/>
      <c r="D35" s="89"/>
      <c r="E35" s="89"/>
      <c r="F35" s="2" t="s">
        <v>36</v>
      </c>
      <c r="G35" s="19">
        <v>3.06</v>
      </c>
      <c r="H35" s="87"/>
      <c r="K35" s="21"/>
      <c r="HV35" s="2" t="s">
        <v>75</v>
      </c>
      <c r="HW35" s="2" t="s">
        <v>35</v>
      </c>
      <c r="IR35" s="20">
        <f>H35*0.631779264</f>
        <v>0</v>
      </c>
      <c r="IS35" s="20">
        <f>H35*(1-0.631779264)</f>
        <v>0</v>
      </c>
    </row>
    <row r="36" spans="1:253" x14ac:dyDescent="0.25">
      <c r="A36" s="22" t="s">
        <v>26</v>
      </c>
      <c r="B36" s="23" t="s">
        <v>80</v>
      </c>
      <c r="C36" s="24" t="s">
        <v>81</v>
      </c>
      <c r="D36" s="23" t="s">
        <v>26</v>
      </c>
      <c r="E36" s="23" t="s">
        <v>26</v>
      </c>
      <c r="F36" s="23" t="s">
        <v>26</v>
      </c>
      <c r="G36" s="25" t="s">
        <v>26</v>
      </c>
      <c r="H36" s="25" t="s">
        <v>26</v>
      </c>
      <c r="I36" s="26">
        <f>SUM(I37:I42)</f>
        <v>0</v>
      </c>
      <c r="J36" s="23" t="s">
        <v>26</v>
      </c>
      <c r="K36" s="27" t="s">
        <v>26</v>
      </c>
    </row>
    <row r="37" spans="1:253" ht="27" customHeight="1" x14ac:dyDescent="0.25">
      <c r="A37" s="18">
        <v>11</v>
      </c>
      <c r="B37" s="2" t="s">
        <v>82</v>
      </c>
      <c r="C37" s="5" t="s">
        <v>83</v>
      </c>
      <c r="D37" s="5" t="s">
        <v>84</v>
      </c>
      <c r="E37" s="2" t="s">
        <v>47</v>
      </c>
      <c r="F37" s="2" t="s">
        <v>31</v>
      </c>
      <c r="G37" s="19">
        <v>11.84</v>
      </c>
      <c r="H37" s="85"/>
      <c r="I37" s="19">
        <f>IR37*G37+IS37*G37</f>
        <v>0</v>
      </c>
      <c r="J37" s="5" t="s">
        <v>85</v>
      </c>
      <c r="K37" s="4" t="s">
        <v>34</v>
      </c>
      <c r="HV37" s="2" t="s">
        <v>80</v>
      </c>
      <c r="HW37" s="2" t="s">
        <v>35</v>
      </c>
      <c r="IR37" s="20">
        <f>H37*0.774364641</f>
        <v>0</v>
      </c>
      <c r="IS37" s="20">
        <f>H37*(1-0.774364641)</f>
        <v>0</v>
      </c>
    </row>
    <row r="38" spans="1:253" x14ac:dyDescent="0.25">
      <c r="A38" s="88" t="s">
        <v>31</v>
      </c>
      <c r="B38" s="89"/>
      <c r="C38" s="89"/>
      <c r="D38" s="89"/>
      <c r="E38" s="89"/>
      <c r="F38" s="2" t="s">
        <v>86</v>
      </c>
      <c r="G38" s="19">
        <v>11.84</v>
      </c>
      <c r="H38" s="87"/>
      <c r="K38" s="21"/>
      <c r="HV38" s="2" t="s">
        <v>80</v>
      </c>
      <c r="HW38" s="2" t="s">
        <v>35</v>
      </c>
      <c r="IR38" s="20">
        <f>H38*0.774364641</f>
        <v>0</v>
      </c>
      <c r="IS38" s="20">
        <f>H38*(1-0.774364641)</f>
        <v>0</v>
      </c>
    </row>
    <row r="39" spans="1:253" ht="67.5" customHeight="1" x14ac:dyDescent="0.25">
      <c r="A39" s="18">
        <v>12</v>
      </c>
      <c r="B39" s="2" t="s">
        <v>87</v>
      </c>
      <c r="C39" s="5" t="s">
        <v>88</v>
      </c>
      <c r="D39" s="5" t="s">
        <v>89</v>
      </c>
      <c r="E39" s="2" t="s">
        <v>47</v>
      </c>
      <c r="F39" s="2" t="s">
        <v>31</v>
      </c>
      <c r="G39" s="19">
        <v>11.84</v>
      </c>
      <c r="H39" s="85"/>
      <c r="I39" s="19">
        <f>IR39*G39+IS39*G39</f>
        <v>0</v>
      </c>
      <c r="J39" s="5" t="s">
        <v>90</v>
      </c>
      <c r="K39" s="4" t="s">
        <v>34</v>
      </c>
      <c r="HV39" s="2" t="s">
        <v>80</v>
      </c>
      <c r="HW39" s="2" t="s">
        <v>35</v>
      </c>
      <c r="IR39" s="20">
        <f>H39*0.791618399</f>
        <v>0</v>
      </c>
      <c r="IS39" s="20">
        <f>H39*(1-0.791618399)</f>
        <v>0</v>
      </c>
    </row>
    <row r="40" spans="1:253" ht="67.5" customHeight="1" x14ac:dyDescent="0.25">
      <c r="A40" s="18">
        <v>13</v>
      </c>
      <c r="B40" s="2" t="s">
        <v>91</v>
      </c>
      <c r="C40" s="5" t="s">
        <v>92</v>
      </c>
      <c r="D40" s="5" t="s">
        <v>31</v>
      </c>
      <c r="E40" s="2" t="s">
        <v>47</v>
      </c>
      <c r="F40" s="2" t="s">
        <v>31</v>
      </c>
      <c r="G40" s="19">
        <v>11.84</v>
      </c>
      <c r="H40" s="85"/>
      <c r="I40" s="19">
        <f>IR40*G40+IS40*G40</f>
        <v>0</v>
      </c>
      <c r="J40" s="5" t="s">
        <v>90</v>
      </c>
      <c r="K40" s="4" t="s">
        <v>34</v>
      </c>
      <c r="HV40" s="2" t="s">
        <v>80</v>
      </c>
      <c r="HW40" s="2" t="s">
        <v>35</v>
      </c>
      <c r="IR40" s="20">
        <f>H40*0.567967742</f>
        <v>0</v>
      </c>
      <c r="IS40" s="20">
        <f>H40*(1-0.567967742)</f>
        <v>0</v>
      </c>
    </row>
    <row r="41" spans="1:253" ht="94.5" customHeight="1" x14ac:dyDescent="0.25">
      <c r="A41" s="18">
        <v>14</v>
      </c>
      <c r="B41" s="2" t="s">
        <v>93</v>
      </c>
      <c r="C41" s="5" t="s">
        <v>94</v>
      </c>
      <c r="D41" s="5" t="s">
        <v>95</v>
      </c>
      <c r="E41" s="2" t="s">
        <v>47</v>
      </c>
      <c r="F41" s="2" t="s">
        <v>31</v>
      </c>
      <c r="G41" s="19">
        <v>2.37</v>
      </c>
      <c r="H41" s="85"/>
      <c r="I41" s="19">
        <f>IR41*G41+IS41*G41</f>
        <v>0</v>
      </c>
      <c r="J41" s="5" t="s">
        <v>96</v>
      </c>
      <c r="K41" s="4" t="s">
        <v>34</v>
      </c>
      <c r="HV41" s="2" t="s">
        <v>80</v>
      </c>
      <c r="HW41" s="2" t="s">
        <v>35</v>
      </c>
      <c r="IR41" s="20">
        <f>H41*0.770037267</f>
        <v>0</v>
      </c>
      <c r="IS41" s="20">
        <f>H41*(1-0.770037267)</f>
        <v>0</v>
      </c>
    </row>
    <row r="42" spans="1:253" x14ac:dyDescent="0.25">
      <c r="A42" s="88" t="s">
        <v>31</v>
      </c>
      <c r="B42" s="89"/>
      <c r="C42" s="89"/>
      <c r="D42" s="89"/>
      <c r="E42" s="89"/>
      <c r="F42" s="2" t="s">
        <v>97</v>
      </c>
      <c r="G42" s="19">
        <v>2.37</v>
      </c>
      <c r="H42" s="85"/>
      <c r="K42" s="21"/>
      <c r="HV42" s="2" t="s">
        <v>80</v>
      </c>
      <c r="HW42" s="2" t="s">
        <v>35</v>
      </c>
      <c r="IR42" s="20">
        <f>H42*0.770037267</f>
        <v>0</v>
      </c>
      <c r="IS42" s="20">
        <f>H42*(1-0.770037267)</f>
        <v>0</v>
      </c>
    </row>
    <row r="43" spans="1:253" x14ac:dyDescent="0.25">
      <c r="A43" s="22" t="s">
        <v>26</v>
      </c>
      <c r="B43" s="23" t="s">
        <v>98</v>
      </c>
      <c r="C43" s="24" t="s">
        <v>99</v>
      </c>
      <c r="D43" s="23" t="s">
        <v>26</v>
      </c>
      <c r="E43" s="23" t="s">
        <v>26</v>
      </c>
      <c r="F43" s="23" t="s">
        <v>26</v>
      </c>
      <c r="G43" s="25" t="s">
        <v>26</v>
      </c>
      <c r="H43" s="25" t="s">
        <v>26</v>
      </c>
      <c r="I43" s="26">
        <f>SUM(I44:I47)</f>
        <v>0</v>
      </c>
      <c r="J43" s="23" t="s">
        <v>26</v>
      </c>
      <c r="K43" s="27" t="s">
        <v>26</v>
      </c>
    </row>
    <row r="44" spans="1:253" ht="13.5" customHeight="1" x14ac:dyDescent="0.25">
      <c r="A44" s="18">
        <v>15</v>
      </c>
      <c r="B44" s="2" t="s">
        <v>100</v>
      </c>
      <c r="C44" s="5" t="s">
        <v>101</v>
      </c>
      <c r="D44" s="5" t="s">
        <v>31</v>
      </c>
      <c r="E44" s="2" t="s">
        <v>47</v>
      </c>
      <c r="F44" s="2" t="s">
        <v>31</v>
      </c>
      <c r="G44" s="19">
        <v>35.200000000000003</v>
      </c>
      <c r="H44" s="85"/>
      <c r="I44" s="19">
        <f>IR44*G44+IS44*G44</f>
        <v>0</v>
      </c>
      <c r="J44" s="5" t="s">
        <v>102</v>
      </c>
      <c r="K44" s="4" t="s">
        <v>34</v>
      </c>
      <c r="HV44" s="2" t="s">
        <v>98</v>
      </c>
      <c r="HW44" s="2" t="s">
        <v>35</v>
      </c>
      <c r="IR44" s="20">
        <f>H44*0</f>
        <v>0</v>
      </c>
      <c r="IS44" s="20">
        <f>H44*(1-0)</f>
        <v>0</v>
      </c>
    </row>
    <row r="45" spans="1:253" x14ac:dyDescent="0.25">
      <c r="A45" s="88" t="s">
        <v>31</v>
      </c>
      <c r="B45" s="89"/>
      <c r="C45" s="89"/>
      <c r="D45" s="89"/>
      <c r="E45" s="89"/>
      <c r="F45" s="2" t="s">
        <v>103</v>
      </c>
      <c r="G45" s="19">
        <v>23.36</v>
      </c>
      <c r="H45" s="87"/>
      <c r="K45" s="21"/>
      <c r="HV45" s="2" t="s">
        <v>98</v>
      </c>
      <c r="HW45" s="2" t="s">
        <v>35</v>
      </c>
      <c r="IR45" s="20">
        <f>H45*0</f>
        <v>0</v>
      </c>
      <c r="IS45" s="20">
        <f>H45*(1-0)</f>
        <v>0</v>
      </c>
    </row>
    <row r="46" spans="1:253" x14ac:dyDescent="0.25">
      <c r="A46" s="88" t="s">
        <v>31</v>
      </c>
      <c r="B46" s="89"/>
      <c r="C46" s="89"/>
      <c r="D46" s="89"/>
      <c r="E46" s="89"/>
      <c r="F46" s="2" t="s">
        <v>104</v>
      </c>
      <c r="G46" s="19">
        <v>11.84</v>
      </c>
      <c r="H46" s="87"/>
      <c r="K46" s="21"/>
      <c r="HV46" s="2" t="s">
        <v>98</v>
      </c>
      <c r="HW46" s="2" t="s">
        <v>35</v>
      </c>
      <c r="IR46" s="20">
        <f>H46*0</f>
        <v>0</v>
      </c>
      <c r="IS46" s="20">
        <f>H46*(1-0)</f>
        <v>0</v>
      </c>
    </row>
    <row r="47" spans="1:253" ht="40.5" customHeight="1" x14ac:dyDescent="0.25">
      <c r="A47" s="18">
        <v>16</v>
      </c>
      <c r="B47" s="2" t="s">
        <v>105</v>
      </c>
      <c r="C47" s="5" t="s">
        <v>106</v>
      </c>
      <c r="D47" s="5" t="s">
        <v>31</v>
      </c>
      <c r="E47" s="2" t="s">
        <v>47</v>
      </c>
      <c r="F47" s="2" t="s">
        <v>31</v>
      </c>
      <c r="G47" s="19">
        <v>11.84</v>
      </c>
      <c r="H47" s="85"/>
      <c r="I47" s="19">
        <f>IR47*G47+IS47*G47</f>
        <v>0</v>
      </c>
      <c r="J47" s="5" t="s">
        <v>107</v>
      </c>
      <c r="K47" s="4" t="s">
        <v>34</v>
      </c>
      <c r="HV47" s="2" t="s">
        <v>98</v>
      </c>
      <c r="HW47" s="2" t="s">
        <v>35</v>
      </c>
      <c r="IR47" s="20">
        <f>H47*0.750732801</f>
        <v>0</v>
      </c>
      <c r="IS47" s="20">
        <f>H47*(1-0.750732801)</f>
        <v>0</v>
      </c>
    </row>
    <row r="48" spans="1:253" x14ac:dyDescent="0.25">
      <c r="A48" s="22" t="s">
        <v>26</v>
      </c>
      <c r="B48" s="23" t="s">
        <v>108</v>
      </c>
      <c r="C48" s="24" t="s">
        <v>109</v>
      </c>
      <c r="D48" s="23" t="s">
        <v>26</v>
      </c>
      <c r="E48" s="23" t="s">
        <v>26</v>
      </c>
      <c r="F48" s="23" t="s">
        <v>26</v>
      </c>
      <c r="G48" s="25" t="s">
        <v>26</v>
      </c>
      <c r="H48" s="25" t="s">
        <v>26</v>
      </c>
      <c r="I48" s="26">
        <f>SUM(I49:I59)</f>
        <v>0</v>
      </c>
      <c r="J48" s="23" t="s">
        <v>26</v>
      </c>
      <c r="K48" s="27" t="s">
        <v>26</v>
      </c>
    </row>
    <row r="49" spans="1:253" ht="40.5" customHeight="1" x14ac:dyDescent="0.25">
      <c r="A49" s="18">
        <v>17</v>
      </c>
      <c r="B49" s="2" t="s">
        <v>110</v>
      </c>
      <c r="C49" s="5" t="s">
        <v>111</v>
      </c>
      <c r="D49" s="5" t="s">
        <v>112</v>
      </c>
      <c r="E49" s="2" t="s">
        <v>47</v>
      </c>
      <c r="F49" s="2" t="s">
        <v>31</v>
      </c>
      <c r="G49" s="19">
        <v>8.8800000000000008</v>
      </c>
      <c r="H49" s="85"/>
      <c r="I49" s="19">
        <f>IR49*G49+IS49*G49</f>
        <v>0</v>
      </c>
      <c r="J49" s="5" t="s">
        <v>113</v>
      </c>
      <c r="K49" s="4" t="s">
        <v>34</v>
      </c>
      <c r="HV49" s="2" t="s">
        <v>108</v>
      </c>
      <c r="HW49" s="2" t="s">
        <v>35</v>
      </c>
      <c r="IR49" s="20">
        <f>H49*0.570515956</f>
        <v>0</v>
      </c>
      <c r="IS49" s="20">
        <f>H49*(1-0.570515956)</f>
        <v>0</v>
      </c>
    </row>
    <row r="50" spans="1:253" x14ac:dyDescent="0.25">
      <c r="A50" s="88" t="s">
        <v>31</v>
      </c>
      <c r="B50" s="89"/>
      <c r="C50" s="89"/>
      <c r="D50" s="89"/>
      <c r="E50" s="89"/>
      <c r="F50" s="2" t="s">
        <v>114</v>
      </c>
      <c r="G50" s="19">
        <v>8.8800000000000008</v>
      </c>
      <c r="H50" s="87"/>
      <c r="K50" s="21"/>
      <c r="HV50" s="2" t="s">
        <v>108</v>
      </c>
      <c r="HW50" s="2" t="s">
        <v>35</v>
      </c>
      <c r="IR50" s="20">
        <f>H50*0.570515956</f>
        <v>0</v>
      </c>
      <c r="IS50" s="20">
        <f>H50*(1-0.570515956)</f>
        <v>0</v>
      </c>
    </row>
    <row r="51" spans="1:253" ht="40.5" customHeight="1" x14ac:dyDescent="0.25">
      <c r="A51" s="18">
        <v>18</v>
      </c>
      <c r="B51" s="2" t="s">
        <v>115</v>
      </c>
      <c r="C51" s="5" t="s">
        <v>116</v>
      </c>
      <c r="D51" s="5" t="s">
        <v>117</v>
      </c>
      <c r="E51" s="2" t="s">
        <v>47</v>
      </c>
      <c r="F51" s="2" t="s">
        <v>31</v>
      </c>
      <c r="G51" s="19">
        <v>23.36</v>
      </c>
      <c r="H51" s="85"/>
      <c r="I51" s="19">
        <f>IR51*G51+IS51*G51</f>
        <v>0</v>
      </c>
      <c r="J51" s="5" t="s">
        <v>113</v>
      </c>
      <c r="K51" s="4" t="s">
        <v>34</v>
      </c>
      <c r="HV51" s="2" t="s">
        <v>108</v>
      </c>
      <c r="HW51" s="2" t="s">
        <v>35</v>
      </c>
      <c r="IR51" s="20">
        <f>H51*0.729828851</f>
        <v>0</v>
      </c>
      <c r="IS51" s="20">
        <f>H51*(1-0.729828851)</f>
        <v>0</v>
      </c>
    </row>
    <row r="52" spans="1:253" x14ac:dyDescent="0.25">
      <c r="A52" s="88" t="s">
        <v>31</v>
      </c>
      <c r="B52" s="89"/>
      <c r="C52" s="89"/>
      <c r="D52" s="89"/>
      <c r="E52" s="89"/>
      <c r="F52" s="2" t="s">
        <v>118</v>
      </c>
      <c r="G52" s="19">
        <v>16.64</v>
      </c>
      <c r="H52" s="87"/>
      <c r="K52" s="21"/>
      <c r="HV52" s="2" t="s">
        <v>108</v>
      </c>
      <c r="HW52" s="2" t="s">
        <v>35</v>
      </c>
      <c r="IR52" s="20">
        <f>H52*0.729828851</f>
        <v>0</v>
      </c>
      <c r="IS52" s="20">
        <f>H52*(1-0.729828851)</f>
        <v>0</v>
      </c>
    </row>
    <row r="53" spans="1:253" x14ac:dyDescent="0.25">
      <c r="A53" s="88" t="s">
        <v>31</v>
      </c>
      <c r="B53" s="89"/>
      <c r="C53" s="89"/>
      <c r="D53" s="89"/>
      <c r="E53" s="89"/>
      <c r="F53" s="2" t="s">
        <v>119</v>
      </c>
      <c r="G53" s="19">
        <v>6.72</v>
      </c>
      <c r="H53" s="87"/>
      <c r="K53" s="21"/>
      <c r="HV53" s="2" t="s">
        <v>108</v>
      </c>
      <c r="HW53" s="2" t="s">
        <v>35</v>
      </c>
      <c r="IR53" s="20">
        <f>H53*0.729828851</f>
        <v>0</v>
      </c>
      <c r="IS53" s="20">
        <f>H53*(1-0.729828851)</f>
        <v>0</v>
      </c>
    </row>
    <row r="54" spans="1:253" ht="12.75" customHeight="1" x14ac:dyDescent="0.25">
      <c r="A54" s="18">
        <v>19</v>
      </c>
      <c r="B54" s="2" t="s">
        <v>120</v>
      </c>
      <c r="C54" s="5" t="s">
        <v>121</v>
      </c>
      <c r="D54" s="5" t="s">
        <v>122</v>
      </c>
      <c r="E54" s="2" t="s">
        <v>47</v>
      </c>
      <c r="F54" s="2" t="s">
        <v>31</v>
      </c>
      <c r="G54" s="19">
        <v>25.7</v>
      </c>
      <c r="H54" s="85"/>
      <c r="I54" s="19">
        <f>IR54*G54+IS54*G54</f>
        <v>0</v>
      </c>
      <c r="J54" s="5" t="s">
        <v>31</v>
      </c>
      <c r="K54" s="4" t="s">
        <v>34</v>
      </c>
      <c r="HV54" s="2" t="s">
        <v>108</v>
      </c>
      <c r="HW54" s="2" t="s">
        <v>35</v>
      </c>
      <c r="IR54" s="20">
        <f>H54*0.698885246</f>
        <v>0</v>
      </c>
      <c r="IS54" s="20">
        <f>H54*(1-0.698885246)</f>
        <v>0</v>
      </c>
    </row>
    <row r="55" spans="1:253" x14ac:dyDescent="0.25">
      <c r="A55" s="88" t="s">
        <v>31</v>
      </c>
      <c r="B55" s="89"/>
      <c r="C55" s="89"/>
      <c r="D55" s="89"/>
      <c r="E55" s="89"/>
      <c r="F55" s="2" t="s">
        <v>123</v>
      </c>
      <c r="G55" s="19">
        <v>25.7</v>
      </c>
      <c r="H55" s="87"/>
      <c r="K55" s="21"/>
      <c r="HV55" s="2" t="s">
        <v>108</v>
      </c>
      <c r="HW55" s="2" t="s">
        <v>35</v>
      </c>
      <c r="IR55" s="20">
        <f>H55*0.698885246</f>
        <v>0</v>
      </c>
      <c r="IS55" s="20">
        <f>H55*(1-0.698885246)</f>
        <v>0</v>
      </c>
    </row>
    <row r="56" spans="1:253" ht="12.75" customHeight="1" x14ac:dyDescent="0.25">
      <c r="A56" s="18">
        <v>20</v>
      </c>
      <c r="B56" s="2" t="s">
        <v>124</v>
      </c>
      <c r="C56" s="5" t="s">
        <v>125</v>
      </c>
      <c r="D56" s="5" t="s">
        <v>126</v>
      </c>
      <c r="E56" s="2" t="s">
        <v>72</v>
      </c>
      <c r="F56" s="2" t="s">
        <v>31</v>
      </c>
      <c r="G56" s="19">
        <v>29.6</v>
      </c>
      <c r="H56" s="85"/>
      <c r="I56" s="19">
        <f>IR56*G56+IS56*G56</f>
        <v>0</v>
      </c>
      <c r="J56" s="5" t="s">
        <v>31</v>
      </c>
      <c r="K56" s="4" t="s">
        <v>34</v>
      </c>
      <c r="HV56" s="2" t="s">
        <v>108</v>
      </c>
      <c r="HW56" s="2" t="s">
        <v>35</v>
      </c>
      <c r="IR56" s="20">
        <f>H56*0.740271493</f>
        <v>0</v>
      </c>
      <c r="IS56" s="20">
        <f>H56*(1-0.740271493)</f>
        <v>0</v>
      </c>
    </row>
    <row r="57" spans="1:253" x14ac:dyDescent="0.25">
      <c r="A57" s="88" t="s">
        <v>31</v>
      </c>
      <c r="B57" s="89"/>
      <c r="C57" s="89"/>
      <c r="D57" s="89"/>
      <c r="E57" s="89"/>
      <c r="F57" s="2" t="s">
        <v>73</v>
      </c>
      <c r="G57" s="19">
        <v>12.8</v>
      </c>
      <c r="H57" s="87"/>
      <c r="K57" s="21"/>
      <c r="HV57" s="2" t="s">
        <v>108</v>
      </c>
      <c r="HW57" s="2" t="s">
        <v>35</v>
      </c>
      <c r="IR57" s="20">
        <f>H57*0.740271493</f>
        <v>0</v>
      </c>
      <c r="IS57" s="20">
        <f>H57*(1-0.740271493)</f>
        <v>0</v>
      </c>
    </row>
    <row r="58" spans="1:253" x14ac:dyDescent="0.25">
      <c r="A58" s="88" t="s">
        <v>31</v>
      </c>
      <c r="B58" s="89"/>
      <c r="C58" s="89"/>
      <c r="D58" s="89"/>
      <c r="E58" s="89"/>
      <c r="F58" s="2" t="s">
        <v>74</v>
      </c>
      <c r="G58" s="19">
        <v>16.8</v>
      </c>
      <c r="H58" s="87"/>
      <c r="K58" s="21"/>
      <c r="HV58" s="2" t="s">
        <v>108</v>
      </c>
      <c r="HW58" s="2" t="s">
        <v>35</v>
      </c>
      <c r="IR58" s="20">
        <f>H58*0.740271493</f>
        <v>0</v>
      </c>
      <c r="IS58" s="20">
        <f>H58*(1-0.740271493)</f>
        <v>0</v>
      </c>
    </row>
    <row r="59" spans="1:253" ht="13.5" customHeight="1" x14ac:dyDescent="0.25">
      <c r="A59" s="18">
        <v>21</v>
      </c>
      <c r="B59" s="2" t="s">
        <v>127</v>
      </c>
      <c r="C59" s="5" t="s">
        <v>128</v>
      </c>
      <c r="D59" s="5" t="s">
        <v>129</v>
      </c>
      <c r="E59" s="2" t="s">
        <v>47</v>
      </c>
      <c r="F59" s="2" t="s">
        <v>31</v>
      </c>
      <c r="G59" s="19">
        <v>23.36</v>
      </c>
      <c r="H59" s="85"/>
      <c r="I59" s="19">
        <f>IR59*G59+IS59*G59</f>
        <v>0</v>
      </c>
      <c r="J59" s="5" t="s">
        <v>130</v>
      </c>
      <c r="K59" s="4" t="s">
        <v>34</v>
      </c>
      <c r="HV59" s="2" t="s">
        <v>108</v>
      </c>
      <c r="HW59" s="2" t="s">
        <v>35</v>
      </c>
      <c r="IR59" s="20">
        <f>H59*0.578858919</f>
        <v>0</v>
      </c>
      <c r="IS59" s="20">
        <f>H59*(1-0.578858919)</f>
        <v>0</v>
      </c>
    </row>
    <row r="60" spans="1:253" x14ac:dyDescent="0.25">
      <c r="A60" s="22" t="s">
        <v>26</v>
      </c>
      <c r="B60" s="23" t="s">
        <v>131</v>
      </c>
      <c r="C60" s="24" t="s">
        <v>132</v>
      </c>
      <c r="D60" s="23" t="s">
        <v>26</v>
      </c>
      <c r="E60" s="23" t="s">
        <v>26</v>
      </c>
      <c r="F60" s="23" t="s">
        <v>26</v>
      </c>
      <c r="G60" s="25" t="s">
        <v>26</v>
      </c>
      <c r="H60" s="25" t="s">
        <v>26</v>
      </c>
      <c r="I60" s="26">
        <f>SUM(I61:I61)</f>
        <v>0</v>
      </c>
      <c r="J60" s="23" t="s">
        <v>26</v>
      </c>
      <c r="K60" s="27" t="s">
        <v>26</v>
      </c>
    </row>
    <row r="61" spans="1:253" ht="13.5" customHeight="1" x14ac:dyDescent="0.25">
      <c r="A61" s="18">
        <v>22</v>
      </c>
      <c r="B61" s="2" t="s">
        <v>133</v>
      </c>
      <c r="C61" s="5" t="s">
        <v>134</v>
      </c>
      <c r="D61" s="5" t="s">
        <v>135</v>
      </c>
      <c r="E61" s="2" t="s">
        <v>47</v>
      </c>
      <c r="F61" s="2" t="s">
        <v>31</v>
      </c>
      <c r="G61" s="19">
        <v>25.7</v>
      </c>
      <c r="H61" s="85"/>
      <c r="I61" s="19">
        <f>IR61*G61+IS61*G61</f>
        <v>0</v>
      </c>
      <c r="J61" s="5" t="s">
        <v>136</v>
      </c>
      <c r="K61" s="4" t="s">
        <v>34</v>
      </c>
      <c r="HV61" s="2" t="s">
        <v>131</v>
      </c>
      <c r="HW61" s="2" t="s">
        <v>35</v>
      </c>
      <c r="IR61" s="20">
        <f>H61*0.208661417</f>
        <v>0</v>
      </c>
      <c r="IS61" s="20">
        <f>H61*(1-0.208661417)</f>
        <v>0</v>
      </c>
    </row>
    <row r="62" spans="1:253" x14ac:dyDescent="0.25">
      <c r="A62" s="22" t="s">
        <v>26</v>
      </c>
      <c r="B62" s="23" t="s">
        <v>137</v>
      </c>
      <c r="C62" s="24" t="s">
        <v>138</v>
      </c>
      <c r="D62" s="23" t="s">
        <v>26</v>
      </c>
      <c r="E62" s="23" t="s">
        <v>26</v>
      </c>
      <c r="F62" s="23" t="s">
        <v>26</v>
      </c>
      <c r="G62" s="25" t="s">
        <v>26</v>
      </c>
      <c r="H62" s="25" t="s">
        <v>26</v>
      </c>
      <c r="I62" s="26">
        <f>SUM(I63:I63)</f>
        <v>0</v>
      </c>
      <c r="J62" s="23" t="s">
        <v>26</v>
      </c>
      <c r="K62" s="27" t="s">
        <v>26</v>
      </c>
    </row>
    <row r="63" spans="1:253" ht="40.5" customHeight="1" x14ac:dyDescent="0.25">
      <c r="A63" s="28">
        <v>23</v>
      </c>
      <c r="B63" s="7" t="s">
        <v>139</v>
      </c>
      <c r="C63" s="29" t="s">
        <v>266</v>
      </c>
      <c r="D63" s="29" t="s">
        <v>31</v>
      </c>
      <c r="E63" s="7" t="s">
        <v>47</v>
      </c>
      <c r="F63" s="7" t="s">
        <v>31</v>
      </c>
      <c r="G63" s="30">
        <v>11.84</v>
      </c>
      <c r="H63" s="86"/>
      <c r="I63" s="30">
        <f>IR63*G63+IS63*G63</f>
        <v>0</v>
      </c>
      <c r="J63" s="29" t="s">
        <v>141</v>
      </c>
      <c r="K63" s="8" t="s">
        <v>34</v>
      </c>
      <c r="HV63" s="2" t="s">
        <v>137</v>
      </c>
      <c r="HW63" s="2" t="s">
        <v>35</v>
      </c>
      <c r="IR63" s="20">
        <f>H63*0</f>
        <v>0</v>
      </c>
      <c r="IS63" s="20">
        <f>H63*(1-0)</f>
        <v>0</v>
      </c>
    </row>
    <row r="65" spans="8:9" x14ac:dyDescent="0.25">
      <c r="H65" s="3" t="s">
        <v>142</v>
      </c>
      <c r="I65" s="31">
        <f>ROUND(I11+I14+I18+I24+I26+I33+I36+I43+I48+I60+I62,1)</f>
        <v>0</v>
      </c>
    </row>
  </sheetData>
  <sheetProtection password="8A43" sheet="1" objects="1" scenarios="1"/>
  <protectedRanges>
    <protectedRange sqref="H34" name="Oblast7"/>
    <protectedRange sqref="H30" name="Oblast6"/>
    <protectedRange sqref="H27" name="Oblast5"/>
    <protectedRange sqref="H25" name="Oblast4"/>
    <protectedRange sqref="H19:H23" name="Oblast3"/>
    <protectedRange sqref="H15" name="Oblast2"/>
    <protectedRange sqref="H12:H13" name="Oblast1"/>
    <protectedRange sqref="H61" name="Oblast8"/>
    <protectedRange sqref="H63" name="Oblast9"/>
  </protectedRanges>
  <mergeCells count="44">
    <mergeCell ref="A1:K1"/>
    <mergeCell ref="A2:B3"/>
    <mergeCell ref="A4:B5"/>
    <mergeCell ref="A6:B7"/>
    <mergeCell ref="A8:B9"/>
    <mergeCell ref="C2:C3"/>
    <mergeCell ref="C4:C5"/>
    <mergeCell ref="C6:C7"/>
    <mergeCell ref="C8:C9"/>
    <mergeCell ref="D2:D3"/>
    <mergeCell ref="D4:D5"/>
    <mergeCell ref="D6:D7"/>
    <mergeCell ref="D8:D9"/>
    <mergeCell ref="E2:E3"/>
    <mergeCell ref="E4:E5"/>
    <mergeCell ref="E6:E7"/>
    <mergeCell ref="G2:K3"/>
    <mergeCell ref="G4:K5"/>
    <mergeCell ref="G6:K7"/>
    <mergeCell ref="G8:K9"/>
    <mergeCell ref="A13:E13"/>
    <mergeCell ref="E8:E9"/>
    <mergeCell ref="F2:F3"/>
    <mergeCell ref="F4:F5"/>
    <mergeCell ref="F6:F7"/>
    <mergeCell ref="F8:F9"/>
    <mergeCell ref="A16:E16"/>
    <mergeCell ref="A17:E17"/>
    <mergeCell ref="A20:E20"/>
    <mergeCell ref="A28:E28"/>
    <mergeCell ref="A29:E29"/>
    <mergeCell ref="A31:E31"/>
    <mergeCell ref="A32:E32"/>
    <mergeCell ref="A35:E35"/>
    <mergeCell ref="A38:E38"/>
    <mergeCell ref="A42:E42"/>
    <mergeCell ref="A55:E55"/>
    <mergeCell ref="A57:E57"/>
    <mergeCell ref="A58:E58"/>
    <mergeCell ref="A45:E45"/>
    <mergeCell ref="A46:E46"/>
    <mergeCell ref="A50:E50"/>
    <mergeCell ref="A52:E52"/>
    <mergeCell ref="A53:E53"/>
  </mergeCells>
  <pageMargins left="0.393999993801117" right="0.393999993801117" top="0.59100002050399802" bottom="0.59100002050399802" header="0" footer="0"/>
  <pageSetup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8" t="s">
        <v>145</v>
      </c>
      <c r="B1" s="98"/>
      <c r="C1" s="98"/>
      <c r="D1" s="98"/>
      <c r="E1" s="98"/>
      <c r="F1" s="98"/>
      <c r="G1" s="98"/>
      <c r="H1" s="98"/>
      <c r="I1" s="98"/>
    </row>
    <row r="2" spans="1:9" x14ac:dyDescent="0.25">
      <c r="A2" s="99" t="s">
        <v>1</v>
      </c>
      <c r="B2" s="91"/>
      <c r="C2" s="102" t="str">
        <f>'Stavební rozpočet'!D2</f>
        <v>Fojtství v Kopřivnici</v>
      </c>
      <c r="D2" s="140"/>
      <c r="E2" s="90" t="s">
        <v>3</v>
      </c>
      <c r="F2" s="90" t="str">
        <f>'Stavební rozpočet'!K2</f>
        <v> </v>
      </c>
      <c r="G2" s="91"/>
      <c r="H2" s="90" t="s">
        <v>146</v>
      </c>
      <c r="I2" s="92" t="s">
        <v>31</v>
      </c>
    </row>
    <row r="3" spans="1:9" ht="15" customHeight="1" x14ac:dyDescent="0.25">
      <c r="A3" s="88"/>
      <c r="B3" s="89"/>
      <c r="C3" s="103"/>
      <c r="D3" s="103"/>
      <c r="E3" s="89"/>
      <c r="F3" s="89"/>
      <c r="G3" s="89"/>
      <c r="H3" s="89"/>
      <c r="I3" s="93"/>
    </row>
    <row r="4" spans="1:9" x14ac:dyDescent="0.25">
      <c r="A4" s="100" t="s">
        <v>4</v>
      </c>
      <c r="B4" s="89"/>
      <c r="C4" s="95" t="str">
        <f>'Stavební rozpočet'!D4</f>
        <v xml:space="preserve"> </v>
      </c>
      <c r="D4" s="89"/>
      <c r="E4" s="95" t="s">
        <v>6</v>
      </c>
      <c r="F4" s="95" t="str">
        <f>'Stavební rozpočet'!K4</f>
        <v> </v>
      </c>
      <c r="G4" s="89"/>
      <c r="H4" s="95" t="s">
        <v>146</v>
      </c>
      <c r="I4" s="93" t="s">
        <v>31</v>
      </c>
    </row>
    <row r="5" spans="1:9" ht="15" customHeight="1" x14ac:dyDescent="0.25">
      <c r="A5" s="88"/>
      <c r="B5" s="89"/>
      <c r="C5" s="89"/>
      <c r="D5" s="89"/>
      <c r="E5" s="89"/>
      <c r="F5" s="89"/>
      <c r="G5" s="89"/>
      <c r="H5" s="89"/>
      <c r="I5" s="93"/>
    </row>
    <row r="6" spans="1:9" x14ac:dyDescent="0.25">
      <c r="A6" s="100" t="s">
        <v>7</v>
      </c>
      <c r="B6" s="89"/>
      <c r="C6" s="95" t="str">
        <f>'Stavební rozpočet'!D6</f>
        <v xml:space="preserve"> </v>
      </c>
      <c r="D6" s="89"/>
      <c r="E6" s="95" t="s">
        <v>9</v>
      </c>
      <c r="F6" s="95" t="str">
        <f>'Stavební rozpočet'!K6</f>
        <v> </v>
      </c>
      <c r="G6" s="89"/>
      <c r="H6" s="95" t="s">
        <v>146</v>
      </c>
      <c r="I6" s="93" t="s">
        <v>31</v>
      </c>
    </row>
    <row r="7" spans="1:9" ht="15" customHeight="1" x14ac:dyDescent="0.25">
      <c r="A7" s="88"/>
      <c r="B7" s="89"/>
      <c r="C7" s="89"/>
      <c r="D7" s="89"/>
      <c r="E7" s="89"/>
      <c r="F7" s="89"/>
      <c r="G7" s="89"/>
      <c r="H7" s="89"/>
      <c r="I7" s="93"/>
    </row>
    <row r="8" spans="1:9" x14ac:dyDescent="0.25">
      <c r="A8" s="100" t="s">
        <v>5</v>
      </c>
      <c r="B8" s="89"/>
      <c r="C8" s="95" t="str">
        <f>'Stavební rozpočet'!H4</f>
        <v>19.07.2024</v>
      </c>
      <c r="D8" s="89"/>
      <c r="E8" s="95" t="s">
        <v>8</v>
      </c>
      <c r="F8" s="95" t="str">
        <f>'Stavební rozpočet'!H6</f>
        <v xml:space="preserve"> </v>
      </c>
      <c r="G8" s="89"/>
      <c r="H8" s="89" t="s">
        <v>147</v>
      </c>
      <c r="I8" s="139">
        <v>23</v>
      </c>
    </row>
    <row r="9" spans="1:9" x14ac:dyDescent="0.25">
      <c r="A9" s="88"/>
      <c r="B9" s="89"/>
      <c r="C9" s="89"/>
      <c r="D9" s="89"/>
      <c r="E9" s="89"/>
      <c r="F9" s="89"/>
      <c r="G9" s="89"/>
      <c r="H9" s="89"/>
      <c r="I9" s="93"/>
    </row>
    <row r="10" spans="1:9" x14ac:dyDescent="0.25">
      <c r="A10" s="100" t="s">
        <v>10</v>
      </c>
      <c r="B10" s="89"/>
      <c r="C10" s="95" t="str">
        <f>'Stavební rozpočet'!D8</f>
        <v xml:space="preserve"> </v>
      </c>
      <c r="D10" s="89"/>
      <c r="E10" s="95" t="s">
        <v>12</v>
      </c>
      <c r="F10" s="95" t="str">
        <f>'Stavební rozpočet'!K8</f>
        <v> </v>
      </c>
      <c r="G10" s="89"/>
      <c r="H10" s="89" t="s">
        <v>148</v>
      </c>
      <c r="I10" s="134" t="str">
        <f>'Stavební rozpočet'!H8</f>
        <v>19.07.2024</v>
      </c>
    </row>
    <row r="11" spans="1:9" x14ac:dyDescent="0.25">
      <c r="A11" s="101"/>
      <c r="B11" s="96"/>
      <c r="C11" s="96"/>
      <c r="D11" s="96"/>
      <c r="E11" s="96"/>
      <c r="F11" s="96"/>
      <c r="G11" s="96"/>
      <c r="H11" s="96"/>
      <c r="I11" s="97"/>
    </row>
    <row r="12" spans="1:9" ht="23.25" x14ac:dyDescent="0.25">
      <c r="A12" s="135" t="s">
        <v>149</v>
      </c>
      <c r="B12" s="135"/>
      <c r="C12" s="135"/>
      <c r="D12" s="135"/>
      <c r="E12" s="135"/>
      <c r="F12" s="135"/>
      <c r="G12" s="135"/>
      <c r="H12" s="135"/>
      <c r="I12" s="135"/>
    </row>
    <row r="13" spans="1:9" ht="26.25" customHeight="1" x14ac:dyDescent="0.25">
      <c r="A13" s="33" t="s">
        <v>150</v>
      </c>
      <c r="B13" s="136" t="s">
        <v>151</v>
      </c>
      <c r="C13" s="137"/>
      <c r="D13" s="34" t="s">
        <v>152</v>
      </c>
      <c r="E13" s="136" t="s">
        <v>153</v>
      </c>
      <c r="F13" s="137"/>
      <c r="G13" s="34" t="s">
        <v>154</v>
      </c>
      <c r="H13" s="136" t="s">
        <v>155</v>
      </c>
      <c r="I13" s="137"/>
    </row>
    <row r="14" spans="1:9" ht="15.75" x14ac:dyDescent="0.25">
      <c r="A14" s="35" t="s">
        <v>156</v>
      </c>
      <c r="B14" s="36" t="s">
        <v>157</v>
      </c>
      <c r="C14" s="37">
        <f>SUM('Stavební rozpočet'!AB12:AB45)</f>
        <v>0</v>
      </c>
      <c r="D14" s="124" t="s">
        <v>158</v>
      </c>
      <c r="E14" s="125"/>
      <c r="F14" s="37">
        <f>VORN!I15</f>
        <v>0</v>
      </c>
      <c r="G14" s="124" t="s">
        <v>159</v>
      </c>
      <c r="H14" s="125"/>
      <c r="I14" s="37">
        <f>VORN!I21</f>
        <v>0</v>
      </c>
    </row>
    <row r="15" spans="1:9" ht="15.75" x14ac:dyDescent="0.25">
      <c r="A15" s="38" t="s">
        <v>31</v>
      </c>
      <c r="B15" s="36" t="s">
        <v>160</v>
      </c>
      <c r="C15" s="37">
        <f>SUM('Stavební rozpočet'!AC12:AC45)</f>
        <v>0</v>
      </c>
      <c r="D15" s="124" t="s">
        <v>161</v>
      </c>
      <c r="E15" s="125"/>
      <c r="F15" s="37">
        <f>VORN!I16</f>
        <v>0</v>
      </c>
      <c r="G15" s="124" t="s">
        <v>162</v>
      </c>
      <c r="H15" s="125"/>
      <c r="I15" s="37">
        <f>VORN!I22</f>
        <v>0</v>
      </c>
    </row>
    <row r="16" spans="1:9" ht="15.75" x14ac:dyDescent="0.25">
      <c r="A16" s="35" t="s">
        <v>163</v>
      </c>
      <c r="B16" s="36" t="s">
        <v>157</v>
      </c>
      <c r="C16" s="37">
        <f>SUM('Stavební rozpočet'!AD12:AD45)</f>
        <v>0</v>
      </c>
      <c r="D16" s="124" t="s">
        <v>164</v>
      </c>
      <c r="E16" s="125"/>
      <c r="F16" s="37">
        <f>VORN!I17</f>
        <v>0</v>
      </c>
      <c r="G16" s="124" t="s">
        <v>165</v>
      </c>
      <c r="H16" s="125"/>
      <c r="I16" s="37">
        <f>VORN!I23</f>
        <v>0</v>
      </c>
    </row>
    <row r="17" spans="1:9" ht="15.75" x14ac:dyDescent="0.25">
      <c r="A17" s="38" t="s">
        <v>31</v>
      </c>
      <c r="B17" s="36" t="s">
        <v>160</v>
      </c>
      <c r="C17" s="37">
        <f>SUM('Stavební rozpočet'!AE12:AE45)</f>
        <v>0</v>
      </c>
      <c r="D17" s="124" t="s">
        <v>31</v>
      </c>
      <c r="E17" s="125"/>
      <c r="F17" s="39" t="s">
        <v>31</v>
      </c>
      <c r="G17" s="124" t="s">
        <v>166</v>
      </c>
      <c r="H17" s="125"/>
      <c r="I17" s="37">
        <f>VORN!I24</f>
        <v>0</v>
      </c>
    </row>
    <row r="18" spans="1:9" ht="15.75" x14ac:dyDescent="0.25">
      <c r="A18" s="35" t="s">
        <v>167</v>
      </c>
      <c r="B18" s="36" t="s">
        <v>157</v>
      </c>
      <c r="C18" s="37">
        <f>SUM('Stavební rozpočet'!AF12:AF45)</f>
        <v>0</v>
      </c>
      <c r="D18" s="124" t="s">
        <v>31</v>
      </c>
      <c r="E18" s="125"/>
      <c r="F18" s="39" t="s">
        <v>31</v>
      </c>
      <c r="G18" s="124" t="s">
        <v>168</v>
      </c>
      <c r="H18" s="125"/>
      <c r="I18" s="37">
        <f>VORN!I25</f>
        <v>0</v>
      </c>
    </row>
    <row r="19" spans="1:9" ht="15.75" x14ac:dyDescent="0.25">
      <c r="A19" s="38" t="s">
        <v>31</v>
      </c>
      <c r="B19" s="36" t="s">
        <v>160</v>
      </c>
      <c r="C19" s="37">
        <f>SUM('Stavební rozpočet'!AG12:AG45)</f>
        <v>0</v>
      </c>
      <c r="D19" s="124" t="s">
        <v>31</v>
      </c>
      <c r="E19" s="125"/>
      <c r="F19" s="39" t="s">
        <v>31</v>
      </c>
      <c r="G19" s="124" t="s">
        <v>169</v>
      </c>
      <c r="H19" s="125"/>
      <c r="I19" s="37">
        <f>VORN!I26</f>
        <v>0</v>
      </c>
    </row>
    <row r="20" spans="1:9" ht="15.75" x14ac:dyDescent="0.25">
      <c r="A20" s="116" t="s">
        <v>170</v>
      </c>
      <c r="B20" s="117"/>
      <c r="C20" s="37">
        <f>SUM('Stavební rozpočet'!AH12:AH45)</f>
        <v>0</v>
      </c>
      <c r="D20" s="124" t="s">
        <v>31</v>
      </c>
      <c r="E20" s="125"/>
      <c r="F20" s="39" t="s">
        <v>31</v>
      </c>
      <c r="G20" s="124" t="s">
        <v>31</v>
      </c>
      <c r="H20" s="125"/>
      <c r="I20" s="39" t="s">
        <v>31</v>
      </c>
    </row>
    <row r="21" spans="1:9" ht="15.75" x14ac:dyDescent="0.25">
      <c r="A21" s="131" t="s">
        <v>171</v>
      </c>
      <c r="B21" s="132"/>
      <c r="C21" s="40">
        <f>SUM('Stavební rozpočet'!Z12:Z45)</f>
        <v>0</v>
      </c>
      <c r="D21" s="126" t="s">
        <v>31</v>
      </c>
      <c r="E21" s="127"/>
      <c r="F21" s="41" t="s">
        <v>31</v>
      </c>
      <c r="G21" s="126" t="s">
        <v>31</v>
      </c>
      <c r="H21" s="127"/>
      <c r="I21" s="41" t="s">
        <v>31</v>
      </c>
    </row>
    <row r="22" spans="1:9" ht="16.5" customHeight="1" x14ac:dyDescent="0.25">
      <c r="A22" s="133" t="s">
        <v>172</v>
      </c>
      <c r="B22" s="129"/>
      <c r="C22" s="42">
        <f>ROUND(SUM(C14:C21),1)</f>
        <v>0</v>
      </c>
      <c r="D22" s="128" t="s">
        <v>173</v>
      </c>
      <c r="E22" s="129"/>
      <c r="F22" s="42">
        <f>SUM(F14:F21)</f>
        <v>0</v>
      </c>
      <c r="G22" s="128" t="s">
        <v>174</v>
      </c>
      <c r="H22" s="129"/>
      <c r="I22" s="42">
        <f>SUM(I14:I21)</f>
        <v>0</v>
      </c>
    </row>
    <row r="23" spans="1:9" ht="15.75" x14ac:dyDescent="0.25">
      <c r="D23" s="116" t="s">
        <v>175</v>
      </c>
      <c r="E23" s="117"/>
      <c r="F23" s="43">
        <v>0</v>
      </c>
      <c r="G23" s="130" t="s">
        <v>176</v>
      </c>
      <c r="H23" s="117"/>
      <c r="I23" s="37">
        <v>0</v>
      </c>
    </row>
    <row r="24" spans="1:9" ht="15.75" x14ac:dyDescent="0.25">
      <c r="G24" s="116" t="s">
        <v>177</v>
      </c>
      <c r="H24" s="117"/>
      <c r="I24" s="37">
        <f>vorn_sum</f>
        <v>0</v>
      </c>
    </row>
    <row r="25" spans="1:9" ht="15.75" x14ac:dyDescent="0.25">
      <c r="G25" s="116" t="s">
        <v>178</v>
      </c>
      <c r="H25" s="117"/>
      <c r="I25" s="37">
        <v>0</v>
      </c>
    </row>
    <row r="27" spans="1:9" ht="15.75" x14ac:dyDescent="0.25">
      <c r="A27" s="118" t="s">
        <v>179</v>
      </c>
      <c r="B27" s="119"/>
      <c r="C27" s="44">
        <f>ROUND(SUM('Stavební rozpočet'!AJ12:AJ45),1)</f>
        <v>0</v>
      </c>
    </row>
    <row r="28" spans="1:9" ht="15.75" x14ac:dyDescent="0.25">
      <c r="A28" s="120" t="s">
        <v>180</v>
      </c>
      <c r="B28" s="121"/>
      <c r="C28" s="45">
        <f>ROUND(SUM('Stavební rozpočet'!AK12:AK45),1)</f>
        <v>0</v>
      </c>
      <c r="D28" s="122" t="s">
        <v>181</v>
      </c>
      <c r="E28" s="119"/>
      <c r="F28" s="44">
        <f>ROUND(C28*(12/100),2)</f>
        <v>0</v>
      </c>
      <c r="G28" s="122" t="s">
        <v>182</v>
      </c>
      <c r="H28" s="119"/>
      <c r="I28" s="44">
        <f>ROUND(SUM(C27:C29),1)</f>
        <v>0</v>
      </c>
    </row>
    <row r="29" spans="1:9" ht="15.75" x14ac:dyDescent="0.25">
      <c r="A29" s="120" t="s">
        <v>183</v>
      </c>
      <c r="B29" s="121"/>
      <c r="C29" s="45">
        <f>ROUND(SUM('Stavební rozpočet'!AL12:AL45)+(F22+I22+F23+I23+I24+I25),1)</f>
        <v>0</v>
      </c>
      <c r="D29" s="123" t="s">
        <v>184</v>
      </c>
      <c r="E29" s="121"/>
      <c r="F29" s="45">
        <f>ROUND(C29*(21/100),2)</f>
        <v>0</v>
      </c>
      <c r="G29" s="123" t="s">
        <v>185</v>
      </c>
      <c r="H29" s="121"/>
      <c r="I29" s="45">
        <f>ROUND(SUM(F28:F29)+I28,1)</f>
        <v>0</v>
      </c>
    </row>
    <row r="31" spans="1:9" x14ac:dyDescent="0.25">
      <c r="A31" s="113" t="s">
        <v>186</v>
      </c>
      <c r="B31" s="105"/>
      <c r="C31" s="106"/>
      <c r="D31" s="104" t="s">
        <v>187</v>
      </c>
      <c r="E31" s="105"/>
      <c r="F31" s="106"/>
      <c r="G31" s="104" t="s">
        <v>188</v>
      </c>
      <c r="H31" s="105"/>
      <c r="I31" s="106"/>
    </row>
    <row r="32" spans="1:9" x14ac:dyDescent="0.25">
      <c r="A32" s="114" t="s">
        <v>31</v>
      </c>
      <c r="B32" s="108"/>
      <c r="C32" s="109"/>
      <c r="D32" s="107" t="s">
        <v>31</v>
      </c>
      <c r="E32" s="108"/>
      <c r="F32" s="109"/>
      <c r="G32" s="107" t="s">
        <v>31</v>
      </c>
      <c r="H32" s="108"/>
      <c r="I32" s="109"/>
    </row>
    <row r="33" spans="1:9" x14ac:dyDescent="0.25">
      <c r="A33" s="114" t="s">
        <v>31</v>
      </c>
      <c r="B33" s="108"/>
      <c r="C33" s="109"/>
      <c r="D33" s="107" t="s">
        <v>31</v>
      </c>
      <c r="E33" s="108"/>
      <c r="F33" s="109"/>
      <c r="G33" s="107" t="s">
        <v>31</v>
      </c>
      <c r="H33" s="108"/>
      <c r="I33" s="109"/>
    </row>
    <row r="34" spans="1:9" x14ac:dyDescent="0.25">
      <c r="A34" s="114" t="s">
        <v>31</v>
      </c>
      <c r="B34" s="108"/>
      <c r="C34" s="109"/>
      <c r="D34" s="107" t="s">
        <v>31</v>
      </c>
      <c r="E34" s="108"/>
      <c r="F34" s="109"/>
      <c r="G34" s="107" t="s">
        <v>31</v>
      </c>
      <c r="H34" s="108"/>
      <c r="I34" s="109"/>
    </row>
    <row r="35" spans="1:9" x14ac:dyDescent="0.25">
      <c r="A35" s="115" t="s">
        <v>189</v>
      </c>
      <c r="B35" s="111"/>
      <c r="C35" s="112"/>
      <c r="D35" s="110" t="s">
        <v>189</v>
      </c>
      <c r="E35" s="111"/>
      <c r="F35" s="112"/>
      <c r="G35" s="110" t="s">
        <v>189</v>
      </c>
      <c r="H35" s="111"/>
      <c r="I35" s="112"/>
    </row>
    <row r="36" spans="1:9" x14ac:dyDescent="0.25">
      <c r="A36" s="46" t="s">
        <v>144</v>
      </c>
    </row>
    <row r="37" spans="1:9" ht="12.75" customHeight="1" x14ac:dyDescent="0.25">
      <c r="A37" s="95" t="s">
        <v>31</v>
      </c>
      <c r="B37" s="89"/>
      <c r="C37" s="89"/>
      <c r="D37" s="89"/>
      <c r="E37" s="89"/>
      <c r="F37" s="89"/>
      <c r="G37" s="89"/>
      <c r="H37" s="89"/>
      <c r="I37" s="89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8" t="s">
        <v>190</v>
      </c>
      <c r="B1" s="98"/>
      <c r="C1" s="98"/>
      <c r="D1" s="98"/>
      <c r="E1" s="98"/>
      <c r="F1" s="98"/>
      <c r="G1" s="98"/>
      <c r="H1" s="98"/>
      <c r="I1" s="98"/>
    </row>
    <row r="2" spans="1:9" x14ac:dyDescent="0.25">
      <c r="A2" s="99" t="s">
        <v>1</v>
      </c>
      <c r="B2" s="91"/>
      <c r="C2" s="102" t="str">
        <f>'Stavební rozpočet'!D2</f>
        <v>Fojtství v Kopřivnici</v>
      </c>
      <c r="D2" s="140"/>
      <c r="E2" s="90" t="s">
        <v>3</v>
      </c>
      <c r="F2" s="90" t="str">
        <f>'Stavební rozpočet'!K2</f>
        <v> </v>
      </c>
      <c r="G2" s="91"/>
      <c r="H2" s="90" t="s">
        <v>146</v>
      </c>
      <c r="I2" s="92" t="s">
        <v>31</v>
      </c>
    </row>
    <row r="3" spans="1:9" ht="15" customHeight="1" x14ac:dyDescent="0.25">
      <c r="A3" s="88"/>
      <c r="B3" s="89"/>
      <c r="C3" s="103"/>
      <c r="D3" s="103"/>
      <c r="E3" s="89"/>
      <c r="F3" s="89"/>
      <c r="G3" s="89"/>
      <c r="H3" s="89"/>
      <c r="I3" s="93"/>
    </row>
    <row r="4" spans="1:9" x14ac:dyDescent="0.25">
      <c r="A4" s="100" t="s">
        <v>4</v>
      </c>
      <c r="B4" s="89"/>
      <c r="C4" s="95" t="str">
        <f>'Stavební rozpočet'!D4</f>
        <v xml:space="preserve"> </v>
      </c>
      <c r="D4" s="89"/>
      <c r="E4" s="95" t="s">
        <v>6</v>
      </c>
      <c r="F4" s="95" t="str">
        <f>'Stavební rozpočet'!K4</f>
        <v> </v>
      </c>
      <c r="G4" s="89"/>
      <c r="H4" s="95" t="s">
        <v>146</v>
      </c>
      <c r="I4" s="93" t="s">
        <v>31</v>
      </c>
    </row>
    <row r="5" spans="1:9" ht="15" customHeight="1" x14ac:dyDescent="0.25">
      <c r="A5" s="88"/>
      <c r="B5" s="89"/>
      <c r="C5" s="89"/>
      <c r="D5" s="89"/>
      <c r="E5" s="89"/>
      <c r="F5" s="89"/>
      <c r="G5" s="89"/>
      <c r="H5" s="89"/>
      <c r="I5" s="93"/>
    </row>
    <row r="6" spans="1:9" x14ac:dyDescent="0.25">
      <c r="A6" s="100" t="s">
        <v>7</v>
      </c>
      <c r="B6" s="89"/>
      <c r="C6" s="95" t="str">
        <f>'Stavební rozpočet'!D6</f>
        <v xml:space="preserve"> </v>
      </c>
      <c r="D6" s="89"/>
      <c r="E6" s="95" t="s">
        <v>9</v>
      </c>
      <c r="F6" s="95" t="str">
        <f>'Stavební rozpočet'!K6</f>
        <v> </v>
      </c>
      <c r="G6" s="89"/>
      <c r="H6" s="95" t="s">
        <v>146</v>
      </c>
      <c r="I6" s="93" t="s">
        <v>31</v>
      </c>
    </row>
    <row r="7" spans="1:9" ht="15" customHeight="1" x14ac:dyDescent="0.25">
      <c r="A7" s="88"/>
      <c r="B7" s="89"/>
      <c r="C7" s="89"/>
      <c r="D7" s="89"/>
      <c r="E7" s="89"/>
      <c r="F7" s="89"/>
      <c r="G7" s="89"/>
      <c r="H7" s="89"/>
      <c r="I7" s="93"/>
    </row>
    <row r="8" spans="1:9" x14ac:dyDescent="0.25">
      <c r="A8" s="100" t="s">
        <v>5</v>
      </c>
      <c r="B8" s="89"/>
      <c r="C8" s="95" t="str">
        <f>'Stavební rozpočet'!H4</f>
        <v>19.07.2024</v>
      </c>
      <c r="D8" s="89"/>
      <c r="E8" s="95" t="s">
        <v>8</v>
      </c>
      <c r="F8" s="95" t="str">
        <f>'Stavební rozpočet'!H6</f>
        <v xml:space="preserve"> </v>
      </c>
      <c r="G8" s="89"/>
      <c r="H8" s="89" t="s">
        <v>147</v>
      </c>
      <c r="I8" s="139">
        <v>23</v>
      </c>
    </row>
    <row r="9" spans="1:9" x14ac:dyDescent="0.25">
      <c r="A9" s="88"/>
      <c r="B9" s="89"/>
      <c r="C9" s="89"/>
      <c r="D9" s="89"/>
      <c r="E9" s="89"/>
      <c r="F9" s="89"/>
      <c r="G9" s="89"/>
      <c r="H9" s="89"/>
      <c r="I9" s="93"/>
    </row>
    <row r="10" spans="1:9" x14ac:dyDescent="0.25">
      <c r="A10" s="100" t="s">
        <v>10</v>
      </c>
      <c r="B10" s="89"/>
      <c r="C10" s="95" t="str">
        <f>'Stavební rozpočet'!D8</f>
        <v xml:space="preserve"> </v>
      </c>
      <c r="D10" s="89"/>
      <c r="E10" s="95" t="s">
        <v>12</v>
      </c>
      <c r="F10" s="95" t="str">
        <f>'Stavební rozpočet'!K8</f>
        <v> </v>
      </c>
      <c r="G10" s="89"/>
      <c r="H10" s="89" t="s">
        <v>148</v>
      </c>
      <c r="I10" s="134" t="str">
        <f>'Stavební rozpočet'!H8</f>
        <v>19.07.2024</v>
      </c>
    </row>
    <row r="11" spans="1:9" x14ac:dyDescent="0.25">
      <c r="A11" s="101"/>
      <c r="B11" s="96"/>
      <c r="C11" s="96"/>
      <c r="D11" s="96"/>
      <c r="E11" s="96"/>
      <c r="F11" s="96"/>
      <c r="G11" s="96"/>
      <c r="H11" s="96"/>
      <c r="I11" s="97"/>
    </row>
    <row r="13" spans="1:9" ht="15.75" x14ac:dyDescent="0.25">
      <c r="A13" s="150" t="s">
        <v>191</v>
      </c>
      <c r="B13" s="150"/>
      <c r="C13" s="150"/>
      <c r="D13" s="150"/>
      <c r="E13" s="150"/>
    </row>
    <row r="14" spans="1:9" x14ac:dyDescent="0.25">
      <c r="A14" s="151" t="s">
        <v>192</v>
      </c>
      <c r="B14" s="152"/>
      <c r="C14" s="152"/>
      <c r="D14" s="152"/>
      <c r="E14" s="153"/>
      <c r="F14" s="47" t="s">
        <v>193</v>
      </c>
      <c r="G14" s="47" t="s">
        <v>194</v>
      </c>
      <c r="H14" s="47" t="s">
        <v>195</v>
      </c>
      <c r="I14" s="47" t="s">
        <v>193</v>
      </c>
    </row>
    <row r="15" spans="1:9" x14ac:dyDescent="0.25">
      <c r="A15" s="157" t="s">
        <v>158</v>
      </c>
      <c r="B15" s="158"/>
      <c r="C15" s="158"/>
      <c r="D15" s="158"/>
      <c r="E15" s="159"/>
      <c r="F15" s="48">
        <v>0</v>
      </c>
      <c r="G15" s="49" t="s">
        <v>31</v>
      </c>
      <c r="H15" s="49" t="s">
        <v>31</v>
      </c>
      <c r="I15" s="48">
        <f>F15</f>
        <v>0</v>
      </c>
    </row>
    <row r="16" spans="1:9" x14ac:dyDescent="0.25">
      <c r="A16" s="157" t="s">
        <v>161</v>
      </c>
      <c r="B16" s="158"/>
      <c r="C16" s="158"/>
      <c r="D16" s="158"/>
      <c r="E16" s="159"/>
      <c r="F16" s="48">
        <v>0</v>
      </c>
      <c r="G16" s="49" t="s">
        <v>31</v>
      </c>
      <c r="H16" s="49" t="s">
        <v>31</v>
      </c>
      <c r="I16" s="48">
        <f>F16</f>
        <v>0</v>
      </c>
    </row>
    <row r="17" spans="1:9" x14ac:dyDescent="0.25">
      <c r="A17" s="154" t="s">
        <v>164</v>
      </c>
      <c r="B17" s="155"/>
      <c r="C17" s="155"/>
      <c r="D17" s="155"/>
      <c r="E17" s="156"/>
      <c r="F17" s="50">
        <v>0</v>
      </c>
      <c r="G17" s="51" t="s">
        <v>31</v>
      </c>
      <c r="H17" s="51" t="s">
        <v>31</v>
      </c>
      <c r="I17" s="50">
        <f>F17</f>
        <v>0</v>
      </c>
    </row>
    <row r="18" spans="1:9" x14ac:dyDescent="0.25">
      <c r="A18" s="141" t="s">
        <v>196</v>
      </c>
      <c r="B18" s="142"/>
      <c r="C18" s="142"/>
      <c r="D18" s="142"/>
      <c r="E18" s="143"/>
      <c r="F18" s="52" t="s">
        <v>31</v>
      </c>
      <c r="G18" s="53" t="s">
        <v>31</v>
      </c>
      <c r="H18" s="53" t="s">
        <v>31</v>
      </c>
      <c r="I18" s="54">
        <f>SUM(I15:I17)</f>
        <v>0</v>
      </c>
    </row>
    <row r="20" spans="1:9" x14ac:dyDescent="0.25">
      <c r="A20" s="151" t="s">
        <v>155</v>
      </c>
      <c r="B20" s="152"/>
      <c r="C20" s="152"/>
      <c r="D20" s="152"/>
      <c r="E20" s="153"/>
      <c r="F20" s="47" t="s">
        <v>193</v>
      </c>
      <c r="G20" s="47" t="s">
        <v>194</v>
      </c>
      <c r="H20" s="47" t="s">
        <v>195</v>
      </c>
      <c r="I20" s="47" t="s">
        <v>193</v>
      </c>
    </row>
    <row r="21" spans="1:9" x14ac:dyDescent="0.25">
      <c r="A21" s="157" t="s">
        <v>159</v>
      </c>
      <c r="B21" s="158"/>
      <c r="C21" s="158"/>
      <c r="D21" s="158"/>
      <c r="E21" s="159"/>
      <c r="F21" s="48">
        <v>0</v>
      </c>
      <c r="G21" s="49" t="s">
        <v>31</v>
      </c>
      <c r="H21" s="49" t="s">
        <v>31</v>
      </c>
      <c r="I21" s="48">
        <f t="shared" ref="I21:I26" si="0">F21</f>
        <v>0</v>
      </c>
    </row>
    <row r="22" spans="1:9" x14ac:dyDescent="0.25">
      <c r="A22" s="157" t="s">
        <v>162</v>
      </c>
      <c r="B22" s="158"/>
      <c r="C22" s="158"/>
      <c r="D22" s="158"/>
      <c r="E22" s="159"/>
      <c r="F22" s="48">
        <v>0</v>
      </c>
      <c r="G22" s="49" t="s">
        <v>31</v>
      </c>
      <c r="H22" s="49" t="s">
        <v>31</v>
      </c>
      <c r="I22" s="48">
        <f t="shared" si="0"/>
        <v>0</v>
      </c>
    </row>
    <row r="23" spans="1:9" x14ac:dyDescent="0.25">
      <c r="A23" s="157" t="s">
        <v>165</v>
      </c>
      <c r="B23" s="158"/>
      <c r="C23" s="158"/>
      <c r="D23" s="158"/>
      <c r="E23" s="159"/>
      <c r="F23" s="48">
        <v>0</v>
      </c>
      <c r="G23" s="49" t="s">
        <v>31</v>
      </c>
      <c r="H23" s="49" t="s">
        <v>31</v>
      </c>
      <c r="I23" s="48">
        <f t="shared" si="0"/>
        <v>0</v>
      </c>
    </row>
    <row r="24" spans="1:9" x14ac:dyDescent="0.25">
      <c r="A24" s="157" t="s">
        <v>166</v>
      </c>
      <c r="B24" s="158"/>
      <c r="C24" s="158"/>
      <c r="D24" s="158"/>
      <c r="E24" s="159"/>
      <c r="F24" s="48">
        <v>0</v>
      </c>
      <c r="G24" s="49" t="s">
        <v>31</v>
      </c>
      <c r="H24" s="49" t="s">
        <v>31</v>
      </c>
      <c r="I24" s="48">
        <f t="shared" si="0"/>
        <v>0</v>
      </c>
    </row>
    <row r="25" spans="1:9" x14ac:dyDescent="0.25">
      <c r="A25" s="157" t="s">
        <v>168</v>
      </c>
      <c r="B25" s="158"/>
      <c r="C25" s="158"/>
      <c r="D25" s="158"/>
      <c r="E25" s="159"/>
      <c r="F25" s="48">
        <v>0</v>
      </c>
      <c r="G25" s="49" t="s">
        <v>31</v>
      </c>
      <c r="H25" s="49" t="s">
        <v>31</v>
      </c>
      <c r="I25" s="48">
        <f t="shared" si="0"/>
        <v>0</v>
      </c>
    </row>
    <row r="26" spans="1:9" x14ac:dyDescent="0.25">
      <c r="A26" s="154" t="s">
        <v>169</v>
      </c>
      <c r="B26" s="155"/>
      <c r="C26" s="155"/>
      <c r="D26" s="155"/>
      <c r="E26" s="156"/>
      <c r="F26" s="50">
        <v>0</v>
      </c>
      <c r="G26" s="51" t="s">
        <v>31</v>
      </c>
      <c r="H26" s="51" t="s">
        <v>31</v>
      </c>
      <c r="I26" s="50">
        <f t="shared" si="0"/>
        <v>0</v>
      </c>
    </row>
    <row r="27" spans="1:9" x14ac:dyDescent="0.25">
      <c r="A27" s="141" t="s">
        <v>197</v>
      </c>
      <c r="B27" s="142"/>
      <c r="C27" s="142"/>
      <c r="D27" s="142"/>
      <c r="E27" s="143"/>
      <c r="F27" s="52" t="s">
        <v>31</v>
      </c>
      <c r="G27" s="53" t="s">
        <v>31</v>
      </c>
      <c r="H27" s="53" t="s">
        <v>31</v>
      </c>
      <c r="I27" s="54">
        <f>SUM(I21:I26)</f>
        <v>0</v>
      </c>
    </row>
    <row r="29" spans="1:9" ht="15.75" x14ac:dyDescent="0.25">
      <c r="A29" s="144" t="s">
        <v>198</v>
      </c>
      <c r="B29" s="145"/>
      <c r="C29" s="145"/>
      <c r="D29" s="145"/>
      <c r="E29" s="146"/>
      <c r="F29" s="147">
        <f>I18+I27</f>
        <v>0</v>
      </c>
      <c r="G29" s="148"/>
      <c r="H29" s="148"/>
      <c r="I29" s="149"/>
    </row>
    <row r="33" spans="1:9" ht="15.75" x14ac:dyDescent="0.25">
      <c r="A33" s="150" t="s">
        <v>199</v>
      </c>
      <c r="B33" s="150"/>
      <c r="C33" s="150"/>
      <c r="D33" s="150"/>
      <c r="E33" s="150"/>
    </row>
    <row r="34" spans="1:9" x14ac:dyDescent="0.25">
      <c r="A34" s="151" t="s">
        <v>200</v>
      </c>
      <c r="B34" s="152"/>
      <c r="C34" s="152"/>
      <c r="D34" s="152"/>
      <c r="E34" s="153"/>
      <c r="F34" s="47" t="s">
        <v>193</v>
      </c>
      <c r="G34" s="47" t="s">
        <v>194</v>
      </c>
      <c r="H34" s="47" t="s">
        <v>195</v>
      </c>
      <c r="I34" s="47" t="s">
        <v>193</v>
      </c>
    </row>
    <row r="35" spans="1:9" x14ac:dyDescent="0.25">
      <c r="A35" s="154" t="s">
        <v>31</v>
      </c>
      <c r="B35" s="155"/>
      <c r="C35" s="155"/>
      <c r="D35" s="155"/>
      <c r="E35" s="156"/>
      <c r="F35" s="50">
        <v>0</v>
      </c>
      <c r="G35" s="51" t="s">
        <v>31</v>
      </c>
      <c r="H35" s="51" t="s">
        <v>31</v>
      </c>
      <c r="I35" s="50">
        <f>F35</f>
        <v>0</v>
      </c>
    </row>
    <row r="36" spans="1:9" x14ac:dyDescent="0.25">
      <c r="A36" s="141" t="s">
        <v>201</v>
      </c>
      <c r="B36" s="142"/>
      <c r="C36" s="142"/>
      <c r="D36" s="142"/>
      <c r="E36" s="143"/>
      <c r="F36" s="52" t="s">
        <v>31</v>
      </c>
      <c r="G36" s="53" t="s">
        <v>31</v>
      </c>
      <c r="H36" s="53" t="s">
        <v>31</v>
      </c>
      <c r="I36" s="54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48"/>
  <sheetViews>
    <sheetView workbookViewId="0">
      <pane ySplit="11" topLeftCell="A12" activePane="bottomLeft" state="frozen"/>
      <selection pane="bottomLeft" activeCell="A48" sqref="A48:P48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42.85546875" customWidth="1"/>
    <col min="5" max="5" width="35.7109375" customWidth="1"/>
    <col min="6" max="6" width="4.285156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4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AS1" s="26">
        <f>SUM(AJ1:AJ2)</f>
        <v>0</v>
      </c>
      <c r="AT1" s="26">
        <f>SUM(AK1:AK2)</f>
        <v>0</v>
      </c>
      <c r="AU1" s="26">
        <f>SUM(AL1:AL2)</f>
        <v>0</v>
      </c>
    </row>
    <row r="2" spans="1:76" x14ac:dyDescent="0.25">
      <c r="A2" s="99" t="s">
        <v>1</v>
      </c>
      <c r="B2" s="91"/>
      <c r="C2" s="91"/>
      <c r="D2" s="102" t="s">
        <v>202</v>
      </c>
      <c r="E2" s="140"/>
      <c r="F2" s="91" t="s">
        <v>2</v>
      </c>
      <c r="G2" s="91"/>
      <c r="H2" s="91" t="s">
        <v>26</v>
      </c>
      <c r="I2" s="90" t="s">
        <v>3</v>
      </c>
      <c r="J2" s="91"/>
      <c r="K2" s="91" t="s">
        <v>203</v>
      </c>
      <c r="L2" s="91"/>
      <c r="M2" s="91"/>
      <c r="N2" s="91"/>
      <c r="O2" s="91"/>
      <c r="P2" s="92"/>
    </row>
    <row r="3" spans="1:76" x14ac:dyDescent="0.25">
      <c r="A3" s="88"/>
      <c r="B3" s="89"/>
      <c r="C3" s="89"/>
      <c r="D3" s="103"/>
      <c r="E3" s="103"/>
      <c r="F3" s="89"/>
      <c r="G3" s="89"/>
      <c r="H3" s="89"/>
      <c r="I3" s="89"/>
      <c r="J3" s="89"/>
      <c r="K3" s="89"/>
      <c r="L3" s="89"/>
      <c r="M3" s="89"/>
      <c r="N3" s="89"/>
      <c r="O3" s="89"/>
      <c r="P3" s="93"/>
    </row>
    <row r="4" spans="1:76" x14ac:dyDescent="0.25">
      <c r="A4" s="100" t="s">
        <v>4</v>
      </c>
      <c r="B4" s="89"/>
      <c r="C4" s="89"/>
      <c r="D4" s="95" t="s">
        <v>26</v>
      </c>
      <c r="E4" s="89"/>
      <c r="F4" s="89" t="s">
        <v>5</v>
      </c>
      <c r="G4" s="89"/>
      <c r="H4" s="89" t="s">
        <v>204</v>
      </c>
      <c r="I4" s="95" t="s">
        <v>6</v>
      </c>
      <c r="J4" s="89"/>
      <c r="K4" s="89" t="s">
        <v>203</v>
      </c>
      <c r="L4" s="89"/>
      <c r="M4" s="89"/>
      <c r="N4" s="89"/>
      <c r="O4" s="89"/>
      <c r="P4" s="93"/>
    </row>
    <row r="5" spans="1:76" x14ac:dyDescent="0.2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93"/>
    </row>
    <row r="6" spans="1:76" x14ac:dyDescent="0.25">
      <c r="A6" s="100" t="s">
        <v>7</v>
      </c>
      <c r="B6" s="89"/>
      <c r="C6" s="89"/>
      <c r="D6" s="95" t="s">
        <v>26</v>
      </c>
      <c r="E6" s="89"/>
      <c r="F6" s="89" t="s">
        <v>8</v>
      </c>
      <c r="G6" s="89"/>
      <c r="H6" s="89" t="s">
        <v>26</v>
      </c>
      <c r="I6" s="95" t="s">
        <v>9</v>
      </c>
      <c r="J6" s="89"/>
      <c r="K6" s="89" t="s">
        <v>203</v>
      </c>
      <c r="L6" s="89"/>
      <c r="M6" s="89"/>
      <c r="N6" s="89"/>
      <c r="O6" s="89"/>
      <c r="P6" s="93"/>
    </row>
    <row r="7" spans="1:76" x14ac:dyDescent="0.25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93"/>
    </row>
    <row r="8" spans="1:76" x14ac:dyDescent="0.25">
      <c r="A8" s="100" t="s">
        <v>10</v>
      </c>
      <c r="B8" s="89"/>
      <c r="C8" s="89"/>
      <c r="D8" s="95" t="s">
        <v>26</v>
      </c>
      <c r="E8" s="89"/>
      <c r="F8" s="89" t="s">
        <v>11</v>
      </c>
      <c r="G8" s="89"/>
      <c r="H8" s="89" t="s">
        <v>204</v>
      </c>
      <c r="I8" s="95" t="s">
        <v>12</v>
      </c>
      <c r="J8" s="89"/>
      <c r="K8" s="89" t="s">
        <v>203</v>
      </c>
      <c r="L8" s="89"/>
      <c r="M8" s="89"/>
      <c r="N8" s="89"/>
      <c r="O8" s="89"/>
      <c r="P8" s="93"/>
    </row>
    <row r="9" spans="1:76" x14ac:dyDescent="0.25">
      <c r="A9" s="177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4"/>
    </row>
    <row r="10" spans="1:76" x14ac:dyDescent="0.25">
      <c r="A10" s="55" t="s">
        <v>13</v>
      </c>
      <c r="B10" s="56" t="s">
        <v>143</v>
      </c>
      <c r="C10" s="56" t="s">
        <v>14</v>
      </c>
      <c r="D10" s="175" t="s">
        <v>15</v>
      </c>
      <c r="E10" s="176"/>
      <c r="F10" s="56" t="s">
        <v>17</v>
      </c>
      <c r="G10" s="57" t="s">
        <v>19</v>
      </c>
      <c r="H10" s="58" t="s">
        <v>205</v>
      </c>
      <c r="I10" s="59" t="s">
        <v>206</v>
      </c>
      <c r="J10" s="166" t="s">
        <v>207</v>
      </c>
      <c r="K10" s="167"/>
      <c r="L10" s="168"/>
      <c r="M10" s="60" t="s">
        <v>207</v>
      </c>
      <c r="N10" s="169" t="s">
        <v>208</v>
      </c>
      <c r="O10" s="170"/>
      <c r="P10" s="61" t="s">
        <v>209</v>
      </c>
      <c r="BK10" s="25" t="s">
        <v>25</v>
      </c>
      <c r="BL10" s="62" t="s">
        <v>24</v>
      </c>
      <c r="BW10" s="62" t="s">
        <v>210</v>
      </c>
    </row>
    <row r="11" spans="1:76" x14ac:dyDescent="0.25">
      <c r="A11" s="63" t="s">
        <v>26</v>
      </c>
      <c r="B11" s="64" t="s">
        <v>26</v>
      </c>
      <c r="C11" s="64" t="s">
        <v>26</v>
      </c>
      <c r="D11" s="164" t="s">
        <v>18</v>
      </c>
      <c r="E11" s="165"/>
      <c r="F11" s="64" t="s">
        <v>26</v>
      </c>
      <c r="G11" s="64" t="s">
        <v>26</v>
      </c>
      <c r="H11" s="65" t="s">
        <v>211</v>
      </c>
      <c r="I11" s="66" t="s">
        <v>26</v>
      </c>
      <c r="J11" s="67" t="s">
        <v>212</v>
      </c>
      <c r="K11" s="68" t="s">
        <v>160</v>
      </c>
      <c r="L11" s="69" t="s">
        <v>213</v>
      </c>
      <c r="M11" s="70" t="s">
        <v>214</v>
      </c>
      <c r="N11" s="71" t="s">
        <v>215</v>
      </c>
      <c r="O11" s="72" t="s">
        <v>213</v>
      </c>
      <c r="P11" s="73" t="s">
        <v>216</v>
      </c>
      <c r="Z11" s="25" t="s">
        <v>217</v>
      </c>
      <c r="AA11" s="25" t="s">
        <v>218</v>
      </c>
      <c r="AB11" s="25" t="s">
        <v>219</v>
      </c>
      <c r="AC11" s="25" t="s">
        <v>220</v>
      </c>
      <c r="AD11" s="25" t="s">
        <v>221</v>
      </c>
      <c r="AE11" s="25" t="s">
        <v>222</v>
      </c>
      <c r="AF11" s="25" t="s">
        <v>223</v>
      </c>
      <c r="AG11" s="25" t="s">
        <v>224</v>
      </c>
      <c r="AH11" s="25" t="s">
        <v>225</v>
      </c>
      <c r="BH11" s="25" t="s">
        <v>226</v>
      </c>
      <c r="BI11" s="25" t="s">
        <v>227</v>
      </c>
      <c r="BJ11" s="25" t="s">
        <v>228</v>
      </c>
    </row>
    <row r="12" spans="1:76" x14ac:dyDescent="0.25">
      <c r="A12" s="74" t="s">
        <v>31</v>
      </c>
      <c r="B12" s="13" t="s">
        <v>31</v>
      </c>
      <c r="C12" s="13" t="s">
        <v>27</v>
      </c>
      <c r="D12" s="171" t="s">
        <v>28</v>
      </c>
      <c r="E12" s="172"/>
      <c r="F12" s="75" t="s">
        <v>26</v>
      </c>
      <c r="G12" s="75" t="s">
        <v>26</v>
      </c>
      <c r="H12" s="75" t="s">
        <v>26</v>
      </c>
      <c r="I12" s="75" t="s">
        <v>26</v>
      </c>
      <c r="J12" s="16">
        <f>SUM(J13:J13)</f>
        <v>0</v>
      </c>
      <c r="K12" s="16">
        <f>SUM(K13:K13)</f>
        <v>0</v>
      </c>
      <c r="L12" s="16">
        <f>SUM(L13:L13)</f>
        <v>0</v>
      </c>
      <c r="M12" s="16">
        <f>SUM(M13:M13)</f>
        <v>0</v>
      </c>
      <c r="N12" s="15" t="s">
        <v>31</v>
      </c>
      <c r="O12" s="16">
        <f>SUM(O13:O13)</f>
        <v>0</v>
      </c>
      <c r="P12" s="76" t="s">
        <v>31</v>
      </c>
      <c r="AI12" s="25" t="s">
        <v>31</v>
      </c>
      <c r="AS12" s="26">
        <f>SUM(AJ13:AJ13)</f>
        <v>0</v>
      </c>
      <c r="AT12" s="26">
        <f>SUM(AK13:AK13)</f>
        <v>0</v>
      </c>
      <c r="AU12" s="26">
        <f>SUM(AL13:AL13)</f>
        <v>0</v>
      </c>
    </row>
    <row r="13" spans="1:76" x14ac:dyDescent="0.25">
      <c r="A13" s="1" t="s">
        <v>229</v>
      </c>
      <c r="B13" s="2" t="s">
        <v>31</v>
      </c>
      <c r="C13" s="2" t="s">
        <v>29</v>
      </c>
      <c r="D13" s="95" t="s">
        <v>30</v>
      </c>
      <c r="E13" s="89"/>
      <c r="F13" s="2" t="s">
        <v>32</v>
      </c>
      <c r="G13" s="19">
        <f>'Rozpočet - vybrané sloupce'!G12</f>
        <v>3.06</v>
      </c>
      <c r="H13" s="19">
        <f>'Rozpočet - vybrané sloupce'!H12</f>
        <v>0</v>
      </c>
      <c r="I13" s="77" t="s">
        <v>230</v>
      </c>
      <c r="J13" s="19">
        <f>G13*AO13</f>
        <v>0</v>
      </c>
      <c r="K13" s="19">
        <f>G13*AP13</f>
        <v>0</v>
      </c>
      <c r="L13" s="19">
        <f>G13*H13</f>
        <v>0</v>
      </c>
      <c r="M13" s="19">
        <f>L13*(1+BW13/100)</f>
        <v>0</v>
      </c>
      <c r="N13" s="19">
        <v>0</v>
      </c>
      <c r="O13" s="19">
        <f>G13*N13</f>
        <v>0</v>
      </c>
      <c r="P13" s="78" t="s">
        <v>34</v>
      </c>
      <c r="Z13" s="19">
        <f>IF(AQ13="5",BJ13,0)</f>
        <v>0</v>
      </c>
      <c r="AB13" s="19">
        <f>IF(AQ13="1",BH13,0)</f>
        <v>0</v>
      </c>
      <c r="AC13" s="19">
        <f>IF(AQ13="1",BI13,0)</f>
        <v>0</v>
      </c>
      <c r="AD13" s="19">
        <f>IF(AQ13="7",BH13,0)</f>
        <v>0</v>
      </c>
      <c r="AE13" s="19">
        <f>IF(AQ13="7",BI13,0)</f>
        <v>0</v>
      </c>
      <c r="AF13" s="19">
        <f>IF(AQ13="2",BH13,0)</f>
        <v>0</v>
      </c>
      <c r="AG13" s="19">
        <f>IF(AQ13="2",BI13,0)</f>
        <v>0</v>
      </c>
      <c r="AH13" s="19">
        <f>IF(AQ13="0",BJ13,0)</f>
        <v>0</v>
      </c>
      <c r="AI13" s="25" t="s">
        <v>31</v>
      </c>
      <c r="AJ13" s="19">
        <f>IF(AN13=0,L13,0)</f>
        <v>0</v>
      </c>
      <c r="AK13" s="19">
        <f>IF(AN13=12,L13,0)</f>
        <v>0</v>
      </c>
      <c r="AL13" s="19">
        <f>IF(AN13=21,L13,0)</f>
        <v>0</v>
      </c>
      <c r="AN13" s="19">
        <v>21</v>
      </c>
      <c r="AO13" s="19">
        <f>H13*0</f>
        <v>0</v>
      </c>
      <c r="AP13" s="19">
        <f>H13*(1-0)</f>
        <v>0</v>
      </c>
      <c r="AQ13" s="77" t="s">
        <v>229</v>
      </c>
      <c r="AV13" s="19">
        <f>AW13+AX13</f>
        <v>0</v>
      </c>
      <c r="AW13" s="19">
        <f>G13*AO13</f>
        <v>0</v>
      </c>
      <c r="AX13" s="19">
        <f>G13*AP13</f>
        <v>0</v>
      </c>
      <c r="AY13" s="77" t="s">
        <v>231</v>
      </c>
      <c r="AZ13" s="77" t="s">
        <v>232</v>
      </c>
      <c r="BA13" s="25" t="s">
        <v>233</v>
      </c>
      <c r="BC13" s="19">
        <f>AW13+AX13</f>
        <v>0</v>
      </c>
      <c r="BD13" s="19">
        <f>H13/(100-BE13)*100</f>
        <v>0</v>
      </c>
      <c r="BE13" s="19">
        <v>0</v>
      </c>
      <c r="BF13" s="19">
        <f>O13</f>
        <v>0</v>
      </c>
      <c r="BH13" s="19">
        <f>G13*AO13</f>
        <v>0</v>
      </c>
      <c r="BI13" s="19">
        <f>G13*AP13</f>
        <v>0</v>
      </c>
      <c r="BJ13" s="19">
        <f>G13*H13</f>
        <v>0</v>
      </c>
      <c r="BK13" s="19"/>
      <c r="BL13" s="19">
        <v>11</v>
      </c>
      <c r="BW13" s="19" t="str">
        <f>I13</f>
        <v>21</v>
      </c>
      <c r="BX13" s="5" t="s">
        <v>30</v>
      </c>
    </row>
    <row r="14" spans="1:76" x14ac:dyDescent="0.25">
      <c r="A14" s="79" t="s">
        <v>31</v>
      </c>
      <c r="B14" s="23" t="s">
        <v>31</v>
      </c>
      <c r="C14" s="23" t="s">
        <v>37</v>
      </c>
      <c r="D14" s="160" t="s">
        <v>38</v>
      </c>
      <c r="E14" s="161"/>
      <c r="F14" s="80" t="s">
        <v>26</v>
      </c>
      <c r="G14" s="80" t="s">
        <v>26</v>
      </c>
      <c r="H14" s="80" t="s">
        <v>26</v>
      </c>
      <c r="I14" s="80" t="s">
        <v>26</v>
      </c>
      <c r="J14" s="26">
        <f>SUM(J15:J15)</f>
        <v>0</v>
      </c>
      <c r="K14" s="26">
        <f>SUM(K15:K15)</f>
        <v>0</v>
      </c>
      <c r="L14" s="26">
        <f>SUM(L15:L15)</f>
        <v>0</v>
      </c>
      <c r="M14" s="26">
        <f>SUM(M15:M15)</f>
        <v>0</v>
      </c>
      <c r="N14" s="25" t="s">
        <v>31</v>
      </c>
      <c r="O14" s="26">
        <f>SUM(O15:O15)</f>
        <v>0</v>
      </c>
      <c r="P14" s="81" t="s">
        <v>31</v>
      </c>
      <c r="AI14" s="25" t="s">
        <v>31</v>
      </c>
      <c r="AS14" s="26">
        <f>SUM(AJ15:AJ15)</f>
        <v>0</v>
      </c>
      <c r="AT14" s="26">
        <f>SUM(AK15:AK15)</f>
        <v>0</v>
      </c>
      <c r="AU14" s="26">
        <f>SUM(AL15:AL15)</f>
        <v>0</v>
      </c>
    </row>
    <row r="15" spans="1:76" x14ac:dyDescent="0.25">
      <c r="A15" s="1" t="s">
        <v>234</v>
      </c>
      <c r="B15" s="2" t="s">
        <v>31</v>
      </c>
      <c r="C15" s="2" t="s">
        <v>39</v>
      </c>
      <c r="D15" s="95" t="s">
        <v>40</v>
      </c>
      <c r="E15" s="89"/>
      <c r="F15" s="2" t="s">
        <v>32</v>
      </c>
      <c r="G15" s="19">
        <f>'Rozpočet - vybrané sloupce'!G15</f>
        <v>22.66</v>
      </c>
      <c r="H15" s="19">
        <f>'Rozpočet - vybrané sloupce'!H15</f>
        <v>0</v>
      </c>
      <c r="I15" s="77" t="s">
        <v>230</v>
      </c>
      <c r="J15" s="19">
        <f>G15*AO15</f>
        <v>0</v>
      </c>
      <c r="K15" s="19">
        <f>G15*AP15</f>
        <v>0</v>
      </c>
      <c r="L15" s="19">
        <f>G15*H15</f>
        <v>0</v>
      </c>
      <c r="M15" s="19">
        <f>L15*(1+BW15/100)</f>
        <v>0</v>
      </c>
      <c r="N15" s="19">
        <v>0</v>
      </c>
      <c r="O15" s="19">
        <f>G15*N15</f>
        <v>0</v>
      </c>
      <c r="P15" s="78" t="s">
        <v>34</v>
      </c>
      <c r="Z15" s="19">
        <f>IF(AQ15="5",BJ15,0)</f>
        <v>0</v>
      </c>
      <c r="AB15" s="19">
        <f>IF(AQ15="1",BH15,0)</f>
        <v>0</v>
      </c>
      <c r="AC15" s="19">
        <f>IF(AQ15="1",BI15,0)</f>
        <v>0</v>
      </c>
      <c r="AD15" s="19">
        <f>IF(AQ15="7",BH15,0)</f>
        <v>0</v>
      </c>
      <c r="AE15" s="19">
        <f>IF(AQ15="7",BI15,0)</f>
        <v>0</v>
      </c>
      <c r="AF15" s="19">
        <f>IF(AQ15="2",BH15,0)</f>
        <v>0</v>
      </c>
      <c r="AG15" s="19">
        <f>IF(AQ15="2",BI15,0)</f>
        <v>0</v>
      </c>
      <c r="AH15" s="19">
        <f>IF(AQ15="0",BJ15,0)</f>
        <v>0</v>
      </c>
      <c r="AI15" s="25" t="s">
        <v>31</v>
      </c>
      <c r="AJ15" s="19">
        <f>IF(AN15=0,L15,0)</f>
        <v>0</v>
      </c>
      <c r="AK15" s="19">
        <f>IF(AN15=12,L15,0)</f>
        <v>0</v>
      </c>
      <c r="AL15" s="19">
        <f>IF(AN15=21,L15,0)</f>
        <v>0</v>
      </c>
      <c r="AN15" s="19">
        <v>21</v>
      </c>
      <c r="AO15" s="19">
        <f>H15*0</f>
        <v>0</v>
      </c>
      <c r="AP15" s="19">
        <f>H15*(1-0)</f>
        <v>0</v>
      </c>
      <c r="AQ15" s="77" t="s">
        <v>229</v>
      </c>
      <c r="AV15" s="19">
        <f>AW15+AX15</f>
        <v>0</v>
      </c>
      <c r="AW15" s="19">
        <f>G15*AO15</f>
        <v>0</v>
      </c>
      <c r="AX15" s="19">
        <f>G15*AP15</f>
        <v>0</v>
      </c>
      <c r="AY15" s="77" t="s">
        <v>235</v>
      </c>
      <c r="AZ15" s="77" t="s">
        <v>232</v>
      </c>
      <c r="BA15" s="25" t="s">
        <v>233</v>
      </c>
      <c r="BC15" s="19">
        <f>AW15+AX15</f>
        <v>0</v>
      </c>
      <c r="BD15" s="19">
        <f>H15/(100-BE15)*100</f>
        <v>0</v>
      </c>
      <c r="BE15" s="19">
        <v>0</v>
      </c>
      <c r="BF15" s="19">
        <f>O15</f>
        <v>0</v>
      </c>
      <c r="BH15" s="19">
        <f>G15*AO15</f>
        <v>0</v>
      </c>
      <c r="BI15" s="19">
        <f>G15*AP15</f>
        <v>0</v>
      </c>
      <c r="BJ15" s="19">
        <f>G15*H15</f>
        <v>0</v>
      </c>
      <c r="BK15" s="19"/>
      <c r="BL15" s="19">
        <v>13</v>
      </c>
      <c r="BW15" s="19" t="str">
        <f>I15</f>
        <v>21</v>
      </c>
      <c r="BX15" s="5" t="s">
        <v>40</v>
      </c>
    </row>
    <row r="16" spans="1:76" x14ac:dyDescent="0.25">
      <c r="A16" s="79" t="s">
        <v>31</v>
      </c>
      <c r="B16" s="23" t="s">
        <v>31</v>
      </c>
      <c r="C16" s="23" t="s">
        <v>43</v>
      </c>
      <c r="D16" s="160" t="s">
        <v>44</v>
      </c>
      <c r="E16" s="161"/>
      <c r="F16" s="80" t="s">
        <v>26</v>
      </c>
      <c r="G16" s="80" t="s">
        <v>26</v>
      </c>
      <c r="H16" s="80" t="s">
        <v>26</v>
      </c>
      <c r="I16" s="80" t="s">
        <v>26</v>
      </c>
      <c r="J16" s="26">
        <f>SUM(J17:J20)</f>
        <v>0</v>
      </c>
      <c r="K16" s="26">
        <f>SUM(K17:K20)</f>
        <v>0</v>
      </c>
      <c r="L16" s="26">
        <f>SUM(L17:L20)</f>
        <v>0</v>
      </c>
      <c r="M16" s="26">
        <f>SUM(M17:M20)</f>
        <v>0</v>
      </c>
      <c r="N16" s="25" t="s">
        <v>31</v>
      </c>
      <c r="O16" s="26">
        <f>SUM(O17:O20)</f>
        <v>2.4960000000000003E-2</v>
      </c>
      <c r="P16" s="81" t="s">
        <v>31</v>
      </c>
      <c r="AI16" s="25" t="s">
        <v>31</v>
      </c>
      <c r="AS16" s="26">
        <f>SUM(AJ17:AJ20)</f>
        <v>0</v>
      </c>
      <c r="AT16" s="26">
        <f>SUM(AK17:AK20)</f>
        <v>0</v>
      </c>
      <c r="AU16" s="26">
        <f>SUM(AL17:AL20)</f>
        <v>0</v>
      </c>
    </row>
    <row r="17" spans="1:76" x14ac:dyDescent="0.25">
      <c r="A17" s="1" t="s">
        <v>236</v>
      </c>
      <c r="B17" s="2" t="s">
        <v>31</v>
      </c>
      <c r="C17" s="2" t="s">
        <v>45</v>
      </c>
      <c r="D17" s="95" t="s">
        <v>46</v>
      </c>
      <c r="E17" s="89"/>
      <c r="F17" s="2" t="s">
        <v>47</v>
      </c>
      <c r="G17" s="19">
        <f>'Rozpočet - vybrané sloupce'!G19</f>
        <v>16.64</v>
      </c>
      <c r="H17" s="19">
        <f>'Rozpočet - vybrané sloupce'!H19</f>
        <v>0</v>
      </c>
      <c r="I17" s="77" t="s">
        <v>230</v>
      </c>
      <c r="J17" s="19">
        <f>G17*AO17</f>
        <v>0</v>
      </c>
      <c r="K17" s="19">
        <f>G17*AP17</f>
        <v>0</v>
      </c>
      <c r="L17" s="19">
        <f>G17*H17</f>
        <v>0</v>
      </c>
      <c r="M17" s="19">
        <f>L17*(1+BW17/100)</f>
        <v>0</v>
      </c>
      <c r="N17" s="19">
        <v>6.9999999999999999E-4</v>
      </c>
      <c r="O17" s="19">
        <f>G17*N17</f>
        <v>1.1648E-2</v>
      </c>
      <c r="P17" s="78" t="s">
        <v>34</v>
      </c>
      <c r="Z17" s="19">
        <f>IF(AQ17="5",BJ17,0)</f>
        <v>0</v>
      </c>
      <c r="AB17" s="19">
        <f>IF(AQ17="1",BH17,0)</f>
        <v>0</v>
      </c>
      <c r="AC17" s="19">
        <f>IF(AQ17="1",BI17,0)</f>
        <v>0</v>
      </c>
      <c r="AD17" s="19">
        <f>IF(AQ17="7",BH17,0)</f>
        <v>0</v>
      </c>
      <c r="AE17" s="19">
        <f>IF(AQ17="7",BI17,0)</f>
        <v>0</v>
      </c>
      <c r="AF17" s="19">
        <f>IF(AQ17="2",BH17,0)</f>
        <v>0</v>
      </c>
      <c r="AG17" s="19">
        <f>IF(AQ17="2",BI17,0)</f>
        <v>0</v>
      </c>
      <c r="AH17" s="19">
        <f>IF(AQ17="0",BJ17,0)</f>
        <v>0</v>
      </c>
      <c r="AI17" s="25" t="s">
        <v>31</v>
      </c>
      <c r="AJ17" s="19">
        <f>IF(AN17=0,L17,0)</f>
        <v>0</v>
      </c>
      <c r="AK17" s="19">
        <f>IF(AN17=12,L17,0)</f>
        <v>0</v>
      </c>
      <c r="AL17" s="19">
        <f>IF(AN17=21,L17,0)</f>
        <v>0</v>
      </c>
      <c r="AN17" s="19">
        <v>21</v>
      </c>
      <c r="AO17" s="19">
        <f>H17*0.173778002</f>
        <v>0</v>
      </c>
      <c r="AP17" s="19">
        <f>H17*(1-0.173778002)</f>
        <v>0</v>
      </c>
      <c r="AQ17" s="77" t="s">
        <v>229</v>
      </c>
      <c r="AV17" s="19">
        <f>AW17+AX17</f>
        <v>0</v>
      </c>
      <c r="AW17" s="19">
        <f>G17*AO17</f>
        <v>0</v>
      </c>
      <c r="AX17" s="19">
        <f>G17*AP17</f>
        <v>0</v>
      </c>
      <c r="AY17" s="77" t="s">
        <v>237</v>
      </c>
      <c r="AZ17" s="77" t="s">
        <v>232</v>
      </c>
      <c r="BA17" s="25" t="s">
        <v>233</v>
      </c>
      <c r="BC17" s="19">
        <f>AW17+AX17</f>
        <v>0</v>
      </c>
      <c r="BD17" s="19">
        <f>H17/(100-BE17)*100</f>
        <v>0</v>
      </c>
      <c r="BE17" s="19">
        <v>0</v>
      </c>
      <c r="BF17" s="19">
        <f>O17</f>
        <v>1.1648E-2</v>
      </c>
      <c r="BH17" s="19">
        <f>G17*AO17</f>
        <v>0</v>
      </c>
      <c r="BI17" s="19">
        <f>G17*AP17</f>
        <v>0</v>
      </c>
      <c r="BJ17" s="19">
        <f>G17*H17</f>
        <v>0</v>
      </c>
      <c r="BK17" s="19"/>
      <c r="BL17" s="19">
        <v>15</v>
      </c>
      <c r="BW17" s="19" t="str">
        <f>I17</f>
        <v>21</v>
      </c>
      <c r="BX17" s="5" t="s">
        <v>46</v>
      </c>
    </row>
    <row r="18" spans="1:76" x14ac:dyDescent="0.25">
      <c r="A18" s="1" t="s">
        <v>238</v>
      </c>
      <c r="B18" s="2" t="s">
        <v>31</v>
      </c>
      <c r="C18" s="2" t="s">
        <v>50</v>
      </c>
      <c r="D18" s="95" t="s">
        <v>51</v>
      </c>
      <c r="E18" s="89"/>
      <c r="F18" s="2" t="s">
        <v>47</v>
      </c>
      <c r="G18" s="19">
        <f>'Rozpočet - vybrané sloupce'!G21</f>
        <v>16.64</v>
      </c>
      <c r="H18" s="19">
        <f>'Rozpočet - vybrané sloupce'!H21</f>
        <v>0</v>
      </c>
      <c r="I18" s="77" t="s">
        <v>230</v>
      </c>
      <c r="J18" s="19">
        <f>G18*AO18</f>
        <v>0</v>
      </c>
      <c r="K18" s="19">
        <f>G18*AP18</f>
        <v>0</v>
      </c>
      <c r="L18" s="19">
        <f>G18*H18</f>
        <v>0</v>
      </c>
      <c r="M18" s="19">
        <f>L18*(1+BW18/100)</f>
        <v>0</v>
      </c>
      <c r="N18" s="19">
        <v>0</v>
      </c>
      <c r="O18" s="19">
        <f>G18*N18</f>
        <v>0</v>
      </c>
      <c r="P18" s="78" t="s">
        <v>34</v>
      </c>
      <c r="Z18" s="19">
        <f>IF(AQ18="5",BJ18,0)</f>
        <v>0</v>
      </c>
      <c r="AB18" s="19">
        <f>IF(AQ18="1",BH18,0)</f>
        <v>0</v>
      </c>
      <c r="AC18" s="19">
        <f>IF(AQ18="1",BI18,0)</f>
        <v>0</v>
      </c>
      <c r="AD18" s="19">
        <f>IF(AQ18="7",BH18,0)</f>
        <v>0</v>
      </c>
      <c r="AE18" s="19">
        <f>IF(AQ18="7",BI18,0)</f>
        <v>0</v>
      </c>
      <c r="AF18" s="19">
        <f>IF(AQ18="2",BH18,0)</f>
        <v>0</v>
      </c>
      <c r="AG18" s="19">
        <f>IF(AQ18="2",BI18,0)</f>
        <v>0</v>
      </c>
      <c r="AH18" s="19">
        <f>IF(AQ18="0",BJ18,0)</f>
        <v>0</v>
      </c>
      <c r="AI18" s="25" t="s">
        <v>31</v>
      </c>
      <c r="AJ18" s="19">
        <f>IF(AN18=0,L18,0)</f>
        <v>0</v>
      </c>
      <c r="AK18" s="19">
        <f>IF(AN18=12,L18,0)</f>
        <v>0</v>
      </c>
      <c r="AL18" s="19">
        <f>IF(AN18=21,L18,0)</f>
        <v>0</v>
      </c>
      <c r="AN18" s="19">
        <v>21</v>
      </c>
      <c r="AO18" s="19">
        <f>H18*0</f>
        <v>0</v>
      </c>
      <c r="AP18" s="19">
        <f>H18*(1-0)</f>
        <v>0</v>
      </c>
      <c r="AQ18" s="77" t="s">
        <v>229</v>
      </c>
      <c r="AV18" s="19">
        <f>AW18+AX18</f>
        <v>0</v>
      </c>
      <c r="AW18" s="19">
        <f>G18*AO18</f>
        <v>0</v>
      </c>
      <c r="AX18" s="19">
        <f>G18*AP18</f>
        <v>0</v>
      </c>
      <c r="AY18" s="77" t="s">
        <v>237</v>
      </c>
      <c r="AZ18" s="77" t="s">
        <v>232</v>
      </c>
      <c r="BA18" s="25" t="s">
        <v>233</v>
      </c>
      <c r="BC18" s="19">
        <f>AW18+AX18</f>
        <v>0</v>
      </c>
      <c r="BD18" s="19">
        <f>H18/(100-BE18)*100</f>
        <v>0</v>
      </c>
      <c r="BE18" s="19">
        <v>0</v>
      </c>
      <c r="BF18" s="19">
        <f>O18</f>
        <v>0</v>
      </c>
      <c r="BH18" s="19">
        <f>G18*AO18</f>
        <v>0</v>
      </c>
      <c r="BI18" s="19">
        <f>G18*AP18</f>
        <v>0</v>
      </c>
      <c r="BJ18" s="19">
        <f>G18*H18</f>
        <v>0</v>
      </c>
      <c r="BK18" s="19"/>
      <c r="BL18" s="19">
        <v>15</v>
      </c>
      <c r="BW18" s="19" t="str">
        <f>I18</f>
        <v>21</v>
      </c>
      <c r="BX18" s="5" t="s">
        <v>51</v>
      </c>
    </row>
    <row r="19" spans="1:76" x14ac:dyDescent="0.25">
      <c r="A19" s="1" t="s">
        <v>239</v>
      </c>
      <c r="B19" s="2" t="s">
        <v>31</v>
      </c>
      <c r="C19" s="2" t="s">
        <v>52</v>
      </c>
      <c r="D19" s="95" t="s">
        <v>53</v>
      </c>
      <c r="E19" s="89"/>
      <c r="F19" s="2" t="s">
        <v>47</v>
      </c>
      <c r="G19" s="19">
        <f>'Rozpočet - vybrané sloupce'!G22</f>
        <v>16.64</v>
      </c>
      <c r="H19" s="19">
        <f>'Rozpočet - vybrané sloupce'!H22</f>
        <v>0</v>
      </c>
      <c r="I19" s="77" t="s">
        <v>230</v>
      </c>
      <c r="J19" s="19">
        <f>G19*AO19</f>
        <v>0</v>
      </c>
      <c r="K19" s="19">
        <f>G19*AP19</f>
        <v>0</v>
      </c>
      <c r="L19" s="19">
        <f>G19*H19</f>
        <v>0</v>
      </c>
      <c r="M19" s="19">
        <f>L19*(1+BW19/100)</f>
        <v>0</v>
      </c>
      <c r="N19" s="19">
        <v>8.0000000000000004E-4</v>
      </c>
      <c r="O19" s="19">
        <f>G19*N19</f>
        <v>1.3312000000000001E-2</v>
      </c>
      <c r="P19" s="78" t="s">
        <v>34</v>
      </c>
      <c r="Z19" s="19">
        <f>IF(AQ19="5",BJ19,0)</f>
        <v>0</v>
      </c>
      <c r="AB19" s="19">
        <f>IF(AQ19="1",BH19,0)</f>
        <v>0</v>
      </c>
      <c r="AC19" s="19">
        <f>IF(AQ19="1",BI19,0)</f>
        <v>0</v>
      </c>
      <c r="AD19" s="19">
        <f>IF(AQ19="7",BH19,0)</f>
        <v>0</v>
      </c>
      <c r="AE19" s="19">
        <f>IF(AQ19="7",BI19,0)</f>
        <v>0</v>
      </c>
      <c r="AF19" s="19">
        <f>IF(AQ19="2",BH19,0)</f>
        <v>0</v>
      </c>
      <c r="AG19" s="19">
        <f>IF(AQ19="2",BI19,0)</f>
        <v>0</v>
      </c>
      <c r="AH19" s="19">
        <f>IF(AQ19="0",BJ19,0)</f>
        <v>0</v>
      </c>
      <c r="AI19" s="25" t="s">
        <v>31</v>
      </c>
      <c r="AJ19" s="19">
        <f>IF(AN19=0,L19,0)</f>
        <v>0</v>
      </c>
      <c r="AK19" s="19">
        <f>IF(AN19=12,L19,0)</f>
        <v>0</v>
      </c>
      <c r="AL19" s="19">
        <f>IF(AN19=21,L19,0)</f>
        <v>0</v>
      </c>
      <c r="AN19" s="19">
        <v>21</v>
      </c>
      <c r="AO19" s="19">
        <f>H19*0.039346107</f>
        <v>0</v>
      </c>
      <c r="AP19" s="19">
        <f>H19*(1-0.039346107)</f>
        <v>0</v>
      </c>
      <c r="AQ19" s="77" t="s">
        <v>229</v>
      </c>
      <c r="AV19" s="19">
        <f>AW19+AX19</f>
        <v>0</v>
      </c>
      <c r="AW19" s="19">
        <f>G19*AO19</f>
        <v>0</v>
      </c>
      <c r="AX19" s="19">
        <f>G19*AP19</f>
        <v>0</v>
      </c>
      <c r="AY19" s="77" t="s">
        <v>237</v>
      </c>
      <c r="AZ19" s="77" t="s">
        <v>232</v>
      </c>
      <c r="BA19" s="25" t="s">
        <v>233</v>
      </c>
      <c r="BC19" s="19">
        <f>AW19+AX19</f>
        <v>0</v>
      </c>
      <c r="BD19" s="19">
        <f>H19/(100-BE19)*100</f>
        <v>0</v>
      </c>
      <c r="BE19" s="19">
        <v>0</v>
      </c>
      <c r="BF19" s="19">
        <f>O19</f>
        <v>1.3312000000000001E-2</v>
      </c>
      <c r="BH19" s="19">
        <f>G19*AO19</f>
        <v>0</v>
      </c>
      <c r="BI19" s="19">
        <f>G19*AP19</f>
        <v>0</v>
      </c>
      <c r="BJ19" s="19">
        <f>G19*H19</f>
        <v>0</v>
      </c>
      <c r="BK19" s="19"/>
      <c r="BL19" s="19">
        <v>15</v>
      </c>
      <c r="BW19" s="19" t="str">
        <f>I19</f>
        <v>21</v>
      </c>
      <c r="BX19" s="5" t="s">
        <v>53</v>
      </c>
    </row>
    <row r="20" spans="1:76" x14ac:dyDescent="0.25">
      <c r="A20" s="1" t="s">
        <v>240</v>
      </c>
      <c r="B20" s="2" t="s">
        <v>31</v>
      </c>
      <c r="C20" s="2" t="s">
        <v>55</v>
      </c>
      <c r="D20" s="95" t="s">
        <v>56</v>
      </c>
      <c r="E20" s="89"/>
      <c r="F20" s="2" t="s">
        <v>47</v>
      </c>
      <c r="G20" s="19">
        <f>'Rozpočet - vybrané sloupce'!G23</f>
        <v>16.64</v>
      </c>
      <c r="H20" s="19">
        <f>'Rozpočet - vybrané sloupce'!H23</f>
        <v>0</v>
      </c>
      <c r="I20" s="77" t="s">
        <v>230</v>
      </c>
      <c r="J20" s="19">
        <f>G20*AO20</f>
        <v>0</v>
      </c>
      <c r="K20" s="19">
        <f>G20*AP20</f>
        <v>0</v>
      </c>
      <c r="L20" s="19">
        <f>G20*H20</f>
        <v>0</v>
      </c>
      <c r="M20" s="19">
        <f>L20*(1+BW20/100)</f>
        <v>0</v>
      </c>
      <c r="N20" s="19">
        <v>0</v>
      </c>
      <c r="O20" s="19">
        <f>G20*N20</f>
        <v>0</v>
      </c>
      <c r="P20" s="78" t="s">
        <v>34</v>
      </c>
      <c r="Z20" s="19">
        <f>IF(AQ20="5",BJ20,0)</f>
        <v>0</v>
      </c>
      <c r="AB20" s="19">
        <f>IF(AQ20="1",BH20,0)</f>
        <v>0</v>
      </c>
      <c r="AC20" s="19">
        <f>IF(AQ20="1",BI20,0)</f>
        <v>0</v>
      </c>
      <c r="AD20" s="19">
        <f>IF(AQ20="7",BH20,0)</f>
        <v>0</v>
      </c>
      <c r="AE20" s="19">
        <f>IF(AQ20="7",BI20,0)</f>
        <v>0</v>
      </c>
      <c r="AF20" s="19">
        <f>IF(AQ20="2",BH20,0)</f>
        <v>0</v>
      </c>
      <c r="AG20" s="19">
        <f>IF(AQ20="2",BI20,0)</f>
        <v>0</v>
      </c>
      <c r="AH20" s="19">
        <f>IF(AQ20="0",BJ20,0)</f>
        <v>0</v>
      </c>
      <c r="AI20" s="25" t="s">
        <v>31</v>
      </c>
      <c r="AJ20" s="19">
        <f>IF(AN20=0,L20,0)</f>
        <v>0</v>
      </c>
      <c r="AK20" s="19">
        <f>IF(AN20=12,L20,0)</f>
        <v>0</v>
      </c>
      <c r="AL20" s="19">
        <f>IF(AN20=21,L20,0)</f>
        <v>0</v>
      </c>
      <c r="AN20" s="19">
        <v>21</v>
      </c>
      <c r="AO20" s="19">
        <f>H20*0</f>
        <v>0</v>
      </c>
      <c r="AP20" s="19">
        <f>H20*(1-0)</f>
        <v>0</v>
      </c>
      <c r="AQ20" s="77" t="s">
        <v>229</v>
      </c>
      <c r="AV20" s="19">
        <f>AW20+AX20</f>
        <v>0</v>
      </c>
      <c r="AW20" s="19">
        <f>G20*AO20</f>
        <v>0</v>
      </c>
      <c r="AX20" s="19">
        <f>G20*AP20</f>
        <v>0</v>
      </c>
      <c r="AY20" s="77" t="s">
        <v>237</v>
      </c>
      <c r="AZ20" s="77" t="s">
        <v>232</v>
      </c>
      <c r="BA20" s="25" t="s">
        <v>233</v>
      </c>
      <c r="BC20" s="19">
        <f>AW20+AX20</f>
        <v>0</v>
      </c>
      <c r="BD20" s="19">
        <f>H20/(100-BE20)*100</f>
        <v>0</v>
      </c>
      <c r="BE20" s="19">
        <v>0</v>
      </c>
      <c r="BF20" s="19">
        <f>O20</f>
        <v>0</v>
      </c>
      <c r="BH20" s="19">
        <f>G20*AO20</f>
        <v>0</v>
      </c>
      <c r="BI20" s="19">
        <f>G20*AP20</f>
        <v>0</v>
      </c>
      <c r="BJ20" s="19">
        <f>G20*H20</f>
        <v>0</v>
      </c>
      <c r="BK20" s="19"/>
      <c r="BL20" s="19">
        <v>15</v>
      </c>
      <c r="BW20" s="19" t="str">
        <f>I20</f>
        <v>21</v>
      </c>
      <c r="BX20" s="5" t="s">
        <v>56</v>
      </c>
    </row>
    <row r="21" spans="1:76" x14ac:dyDescent="0.25">
      <c r="A21" s="79" t="s">
        <v>31</v>
      </c>
      <c r="B21" s="23" t="s">
        <v>31</v>
      </c>
      <c r="C21" s="23" t="s">
        <v>57</v>
      </c>
      <c r="D21" s="160" t="s">
        <v>58</v>
      </c>
      <c r="E21" s="161"/>
      <c r="F21" s="80" t="s">
        <v>26</v>
      </c>
      <c r="G21" s="80" t="s">
        <v>26</v>
      </c>
      <c r="H21" s="80" t="s">
        <v>26</v>
      </c>
      <c r="I21" s="80" t="s">
        <v>26</v>
      </c>
      <c r="J21" s="26">
        <f>SUM(J22:J22)</f>
        <v>0</v>
      </c>
      <c r="K21" s="26">
        <f>SUM(K22:K22)</f>
        <v>0</v>
      </c>
      <c r="L21" s="26">
        <f>SUM(L22:L22)</f>
        <v>0</v>
      </c>
      <c r="M21" s="26">
        <f>SUM(M22:M22)</f>
        <v>0</v>
      </c>
      <c r="N21" s="25" t="s">
        <v>31</v>
      </c>
      <c r="O21" s="26">
        <f>SUM(O22:O22)</f>
        <v>0</v>
      </c>
      <c r="P21" s="81" t="s">
        <v>31</v>
      </c>
      <c r="AI21" s="25" t="s">
        <v>31</v>
      </c>
      <c r="AS21" s="26">
        <f>SUM(AJ22:AJ22)</f>
        <v>0</v>
      </c>
      <c r="AT21" s="26">
        <f>SUM(AK22:AK22)</f>
        <v>0</v>
      </c>
      <c r="AU21" s="26">
        <f>SUM(AL22:AL22)</f>
        <v>0</v>
      </c>
    </row>
    <row r="22" spans="1:76" x14ac:dyDescent="0.25">
      <c r="A22" s="1" t="s">
        <v>241</v>
      </c>
      <c r="B22" s="2" t="s">
        <v>31</v>
      </c>
      <c r="C22" s="2" t="s">
        <v>59</v>
      </c>
      <c r="D22" s="95" t="s">
        <v>60</v>
      </c>
      <c r="E22" s="89"/>
      <c r="F22" s="2" t="s">
        <v>32</v>
      </c>
      <c r="G22" s="19">
        <f>'Rozpočet - vybrané sloupce'!G25</f>
        <v>16.64</v>
      </c>
      <c r="H22" s="19">
        <f>'Rozpočet - vybrané sloupce'!H25</f>
        <v>0</v>
      </c>
      <c r="I22" s="77" t="s">
        <v>230</v>
      </c>
      <c r="J22" s="19">
        <f>G22*AO22</f>
        <v>0</v>
      </c>
      <c r="K22" s="19">
        <f>G22*AP22</f>
        <v>0</v>
      </c>
      <c r="L22" s="19">
        <f>G22*H22</f>
        <v>0</v>
      </c>
      <c r="M22" s="19">
        <f>L22*(1+BW22/100)</f>
        <v>0</v>
      </c>
      <c r="N22" s="19">
        <v>0</v>
      </c>
      <c r="O22" s="19">
        <f>G22*N22</f>
        <v>0</v>
      </c>
      <c r="P22" s="78" t="s">
        <v>34</v>
      </c>
      <c r="Z22" s="19">
        <f>IF(AQ22="5",BJ22,0)</f>
        <v>0</v>
      </c>
      <c r="AB22" s="19">
        <f>IF(AQ22="1",BH22,0)</f>
        <v>0</v>
      </c>
      <c r="AC22" s="19">
        <f>IF(AQ22="1",BI22,0)</f>
        <v>0</v>
      </c>
      <c r="AD22" s="19">
        <f>IF(AQ22="7",BH22,0)</f>
        <v>0</v>
      </c>
      <c r="AE22" s="19">
        <f>IF(AQ22="7",BI22,0)</f>
        <v>0</v>
      </c>
      <c r="AF22" s="19">
        <f>IF(AQ22="2",BH22,0)</f>
        <v>0</v>
      </c>
      <c r="AG22" s="19">
        <f>IF(AQ22="2",BI22,0)</f>
        <v>0</v>
      </c>
      <c r="AH22" s="19">
        <f>IF(AQ22="0",BJ22,0)</f>
        <v>0</v>
      </c>
      <c r="AI22" s="25" t="s">
        <v>31</v>
      </c>
      <c r="AJ22" s="19">
        <f>IF(AN22=0,L22,0)</f>
        <v>0</v>
      </c>
      <c r="AK22" s="19">
        <f>IF(AN22=12,L22,0)</f>
        <v>0</v>
      </c>
      <c r="AL22" s="19">
        <f>IF(AN22=21,L22,0)</f>
        <v>0</v>
      </c>
      <c r="AN22" s="19">
        <v>21</v>
      </c>
      <c r="AO22" s="19">
        <f>H22*0</f>
        <v>0</v>
      </c>
      <c r="AP22" s="19">
        <f>H22*(1-0)</f>
        <v>0</v>
      </c>
      <c r="AQ22" s="77" t="s">
        <v>229</v>
      </c>
      <c r="AV22" s="19">
        <f>AW22+AX22</f>
        <v>0</v>
      </c>
      <c r="AW22" s="19">
        <f>G22*AO22</f>
        <v>0</v>
      </c>
      <c r="AX22" s="19">
        <f>G22*AP22</f>
        <v>0</v>
      </c>
      <c r="AY22" s="77" t="s">
        <v>242</v>
      </c>
      <c r="AZ22" s="77" t="s">
        <v>232</v>
      </c>
      <c r="BA22" s="25" t="s">
        <v>233</v>
      </c>
      <c r="BC22" s="19">
        <f>AW22+AX22</f>
        <v>0</v>
      </c>
      <c r="BD22" s="19">
        <f>H22/(100-BE22)*100</f>
        <v>0</v>
      </c>
      <c r="BE22" s="19">
        <v>0</v>
      </c>
      <c r="BF22" s="19">
        <f>O22</f>
        <v>0</v>
      </c>
      <c r="BH22" s="19">
        <f>G22*AO22</f>
        <v>0</v>
      </c>
      <c r="BI22" s="19">
        <f>G22*AP22</f>
        <v>0</v>
      </c>
      <c r="BJ22" s="19">
        <f>G22*H22</f>
        <v>0</v>
      </c>
      <c r="BK22" s="19"/>
      <c r="BL22" s="19">
        <v>17</v>
      </c>
      <c r="BW22" s="19" t="str">
        <f>I22</f>
        <v>21</v>
      </c>
      <c r="BX22" s="5" t="s">
        <v>60</v>
      </c>
    </row>
    <row r="23" spans="1:76" x14ac:dyDescent="0.25">
      <c r="A23" s="79" t="s">
        <v>31</v>
      </c>
      <c r="B23" s="23" t="s">
        <v>31</v>
      </c>
      <c r="C23" s="23" t="s">
        <v>62</v>
      </c>
      <c r="D23" s="160" t="s">
        <v>63</v>
      </c>
      <c r="E23" s="161"/>
      <c r="F23" s="80" t="s">
        <v>26</v>
      </c>
      <c r="G23" s="80" t="s">
        <v>26</v>
      </c>
      <c r="H23" s="80" t="s">
        <v>26</v>
      </c>
      <c r="I23" s="80" t="s">
        <v>26</v>
      </c>
      <c r="J23" s="26">
        <f>SUM(J24:J25)</f>
        <v>0</v>
      </c>
      <c r="K23" s="26">
        <f>SUM(K24:K25)</f>
        <v>0</v>
      </c>
      <c r="L23" s="26">
        <f>SUM(L24:L25)</f>
        <v>0</v>
      </c>
      <c r="M23" s="26">
        <f>SUM(M24:M25)</f>
        <v>0</v>
      </c>
      <c r="N23" s="25" t="s">
        <v>31</v>
      </c>
      <c r="O23" s="26">
        <f>SUM(O24:O25)</f>
        <v>0.38588000000000006</v>
      </c>
      <c r="P23" s="81" t="s">
        <v>31</v>
      </c>
      <c r="AI23" s="25" t="s">
        <v>31</v>
      </c>
      <c r="AS23" s="26">
        <f>SUM(AJ24:AJ25)</f>
        <v>0</v>
      </c>
      <c r="AT23" s="26">
        <f>SUM(AK24:AK25)</f>
        <v>0</v>
      </c>
      <c r="AU23" s="26">
        <f>SUM(AL24:AL25)</f>
        <v>0</v>
      </c>
    </row>
    <row r="24" spans="1:76" x14ac:dyDescent="0.25">
      <c r="A24" s="1" t="s">
        <v>243</v>
      </c>
      <c r="B24" s="2" t="s">
        <v>31</v>
      </c>
      <c r="C24" s="2" t="s">
        <v>64</v>
      </c>
      <c r="D24" s="95" t="s">
        <v>65</v>
      </c>
      <c r="E24" s="89"/>
      <c r="F24" s="2" t="s">
        <v>47</v>
      </c>
      <c r="G24" s="19">
        <f>'Rozpočet - vybrané sloupce'!G27</f>
        <v>32.24</v>
      </c>
      <c r="H24" s="19">
        <f>'Rozpočet - vybrané sloupce'!H27</f>
        <v>0</v>
      </c>
      <c r="I24" s="77" t="s">
        <v>230</v>
      </c>
      <c r="J24" s="19">
        <f>G24*AO24</f>
        <v>0</v>
      </c>
      <c r="K24" s="19">
        <f>G24*AP24</f>
        <v>0</v>
      </c>
      <c r="L24" s="19">
        <f>G24*H24</f>
        <v>0</v>
      </c>
      <c r="M24" s="19">
        <f>L24*(1+BW24/100)</f>
        <v>0</v>
      </c>
      <c r="N24" s="19">
        <v>1.0500000000000001E-2</v>
      </c>
      <c r="O24" s="19">
        <f>G24*N24</f>
        <v>0.33852000000000004</v>
      </c>
      <c r="P24" s="78" t="s">
        <v>34</v>
      </c>
      <c r="Z24" s="19">
        <f>IF(AQ24="5",BJ24,0)</f>
        <v>0</v>
      </c>
      <c r="AB24" s="19">
        <f>IF(AQ24="1",BH24,0)</f>
        <v>0</v>
      </c>
      <c r="AC24" s="19">
        <f>IF(AQ24="1",BI24,0)</f>
        <v>0</v>
      </c>
      <c r="AD24" s="19">
        <f>IF(AQ24="7",BH24,0)</f>
        <v>0</v>
      </c>
      <c r="AE24" s="19">
        <f>IF(AQ24="7",BI24,0)</f>
        <v>0</v>
      </c>
      <c r="AF24" s="19">
        <f>IF(AQ24="2",BH24,0)</f>
        <v>0</v>
      </c>
      <c r="AG24" s="19">
        <f>IF(AQ24="2",BI24,0)</f>
        <v>0</v>
      </c>
      <c r="AH24" s="19">
        <f>IF(AQ24="0",BJ24,0)</f>
        <v>0</v>
      </c>
      <c r="AI24" s="25" t="s">
        <v>31</v>
      </c>
      <c r="AJ24" s="19">
        <f>IF(AN24=0,L24,0)</f>
        <v>0</v>
      </c>
      <c r="AK24" s="19">
        <f>IF(AN24=12,L24,0)</f>
        <v>0</v>
      </c>
      <c r="AL24" s="19">
        <f>IF(AN24=21,L24,0)</f>
        <v>0</v>
      </c>
      <c r="AN24" s="19">
        <v>21</v>
      </c>
      <c r="AO24" s="19">
        <f>H24*0.755218609</f>
        <v>0</v>
      </c>
      <c r="AP24" s="19">
        <f>H24*(1-0.755218609)</f>
        <v>0</v>
      </c>
      <c r="AQ24" s="77" t="s">
        <v>229</v>
      </c>
      <c r="AV24" s="19">
        <f>AW24+AX24</f>
        <v>0</v>
      </c>
      <c r="AW24" s="19">
        <f>G24*AO24</f>
        <v>0</v>
      </c>
      <c r="AX24" s="19">
        <f>G24*AP24</f>
        <v>0</v>
      </c>
      <c r="AY24" s="77" t="s">
        <v>244</v>
      </c>
      <c r="AZ24" s="77" t="s">
        <v>245</v>
      </c>
      <c r="BA24" s="25" t="s">
        <v>233</v>
      </c>
      <c r="BC24" s="19">
        <f>AW24+AX24</f>
        <v>0</v>
      </c>
      <c r="BD24" s="19">
        <f>H24/(100-BE24)*100</f>
        <v>0</v>
      </c>
      <c r="BE24" s="19">
        <v>0</v>
      </c>
      <c r="BF24" s="19">
        <f>O24</f>
        <v>0.33852000000000004</v>
      </c>
      <c r="BH24" s="19">
        <f>G24*AO24</f>
        <v>0</v>
      </c>
      <c r="BI24" s="19">
        <f>G24*AP24</f>
        <v>0</v>
      </c>
      <c r="BJ24" s="19">
        <f>G24*H24</f>
        <v>0</v>
      </c>
      <c r="BK24" s="19"/>
      <c r="BL24" s="19">
        <v>31</v>
      </c>
      <c r="BW24" s="19" t="str">
        <f>I24</f>
        <v>21</v>
      </c>
      <c r="BX24" s="5" t="s">
        <v>65</v>
      </c>
    </row>
    <row r="25" spans="1:76" x14ac:dyDescent="0.25">
      <c r="A25" s="1" t="s">
        <v>246</v>
      </c>
      <c r="B25" s="2" t="s">
        <v>31</v>
      </c>
      <c r="C25" s="2" t="s">
        <v>70</v>
      </c>
      <c r="D25" s="95" t="s">
        <v>71</v>
      </c>
      <c r="E25" s="89"/>
      <c r="F25" s="2" t="s">
        <v>72</v>
      </c>
      <c r="G25" s="19">
        <f>'Rozpočet - vybrané sloupce'!G30</f>
        <v>29.6</v>
      </c>
      <c r="H25" s="19">
        <f>'Rozpočet - vybrané sloupce'!H30</f>
        <v>0</v>
      </c>
      <c r="I25" s="77" t="s">
        <v>230</v>
      </c>
      <c r="J25" s="19">
        <f>G25*AO25</f>
        <v>0</v>
      </c>
      <c r="K25" s="19">
        <f>G25*AP25</f>
        <v>0</v>
      </c>
      <c r="L25" s="19">
        <f>G25*H25</f>
        <v>0</v>
      </c>
      <c r="M25" s="19">
        <f>L25*(1+BW25/100)</f>
        <v>0</v>
      </c>
      <c r="N25" s="19">
        <v>1.6000000000000001E-3</v>
      </c>
      <c r="O25" s="19">
        <f>G25*N25</f>
        <v>4.7360000000000006E-2</v>
      </c>
      <c r="P25" s="78" t="s">
        <v>34</v>
      </c>
      <c r="Z25" s="19">
        <f>IF(AQ25="5",BJ25,0)</f>
        <v>0</v>
      </c>
      <c r="AB25" s="19">
        <f>IF(AQ25="1",BH25,0)</f>
        <v>0</v>
      </c>
      <c r="AC25" s="19">
        <f>IF(AQ25="1",BI25,0)</f>
        <v>0</v>
      </c>
      <c r="AD25" s="19">
        <f>IF(AQ25="7",BH25,0)</f>
        <v>0</v>
      </c>
      <c r="AE25" s="19">
        <f>IF(AQ25="7",BI25,0)</f>
        <v>0</v>
      </c>
      <c r="AF25" s="19">
        <f>IF(AQ25="2",BH25,0)</f>
        <v>0</v>
      </c>
      <c r="AG25" s="19">
        <f>IF(AQ25="2",BI25,0)</f>
        <v>0</v>
      </c>
      <c r="AH25" s="19">
        <f>IF(AQ25="0",BJ25,0)</f>
        <v>0</v>
      </c>
      <c r="AI25" s="25" t="s">
        <v>31</v>
      </c>
      <c r="AJ25" s="19">
        <f>IF(AN25=0,L25,0)</f>
        <v>0</v>
      </c>
      <c r="AK25" s="19">
        <f>IF(AN25=12,L25,0)</f>
        <v>0</v>
      </c>
      <c r="AL25" s="19">
        <f>IF(AN25=21,L25,0)</f>
        <v>0</v>
      </c>
      <c r="AN25" s="19">
        <v>21</v>
      </c>
      <c r="AO25" s="19">
        <f>H25*0.415933248</f>
        <v>0</v>
      </c>
      <c r="AP25" s="19">
        <f>H25*(1-0.415933248)</f>
        <v>0</v>
      </c>
      <c r="AQ25" s="77" t="s">
        <v>229</v>
      </c>
      <c r="AV25" s="19">
        <f>AW25+AX25</f>
        <v>0</v>
      </c>
      <c r="AW25" s="19">
        <f>G25*AO25</f>
        <v>0</v>
      </c>
      <c r="AX25" s="19">
        <f>G25*AP25</f>
        <v>0</v>
      </c>
      <c r="AY25" s="77" t="s">
        <v>244</v>
      </c>
      <c r="AZ25" s="77" t="s">
        <v>245</v>
      </c>
      <c r="BA25" s="25" t="s">
        <v>233</v>
      </c>
      <c r="BC25" s="19">
        <f>AW25+AX25</f>
        <v>0</v>
      </c>
      <c r="BD25" s="19">
        <f>H25/(100-BE25)*100</f>
        <v>0</v>
      </c>
      <c r="BE25" s="19">
        <v>0</v>
      </c>
      <c r="BF25" s="19">
        <f>O25</f>
        <v>4.7360000000000006E-2</v>
      </c>
      <c r="BH25" s="19">
        <f>G25*AO25</f>
        <v>0</v>
      </c>
      <c r="BI25" s="19">
        <f>G25*AP25</f>
        <v>0</v>
      </c>
      <c r="BJ25" s="19">
        <f>G25*H25</f>
        <v>0</v>
      </c>
      <c r="BK25" s="19"/>
      <c r="BL25" s="19">
        <v>31</v>
      </c>
      <c r="BW25" s="19" t="str">
        <f>I25</f>
        <v>21</v>
      </c>
      <c r="BX25" s="5" t="s">
        <v>71</v>
      </c>
    </row>
    <row r="26" spans="1:76" x14ac:dyDescent="0.25">
      <c r="A26" s="79" t="s">
        <v>31</v>
      </c>
      <c r="B26" s="23" t="s">
        <v>31</v>
      </c>
      <c r="C26" s="23" t="s">
        <v>75</v>
      </c>
      <c r="D26" s="160" t="s">
        <v>76</v>
      </c>
      <c r="E26" s="161"/>
      <c r="F26" s="80" t="s">
        <v>26</v>
      </c>
      <c r="G26" s="80" t="s">
        <v>26</v>
      </c>
      <c r="H26" s="80" t="s">
        <v>26</v>
      </c>
      <c r="I26" s="80" t="s">
        <v>26</v>
      </c>
      <c r="J26" s="26">
        <f>SUM(J27:J27)</f>
        <v>0</v>
      </c>
      <c r="K26" s="26">
        <f>SUM(K27:K27)</f>
        <v>0</v>
      </c>
      <c r="L26" s="26">
        <f>SUM(L27:L27)</f>
        <v>0</v>
      </c>
      <c r="M26" s="26">
        <f>SUM(M27:M27)</f>
        <v>0</v>
      </c>
      <c r="N26" s="25" t="s">
        <v>31</v>
      </c>
      <c r="O26" s="26">
        <f>SUM(O27:O27)</f>
        <v>1.9278</v>
      </c>
      <c r="P26" s="81" t="s">
        <v>31</v>
      </c>
      <c r="AI26" s="25" t="s">
        <v>31</v>
      </c>
      <c r="AS26" s="26">
        <f>SUM(AJ27:AJ27)</f>
        <v>0</v>
      </c>
      <c r="AT26" s="26">
        <f>SUM(AK27:AK27)</f>
        <v>0</v>
      </c>
      <c r="AU26" s="26">
        <f>SUM(AL27:AL27)</f>
        <v>0</v>
      </c>
    </row>
    <row r="27" spans="1:76" x14ac:dyDescent="0.25">
      <c r="A27" s="1" t="s">
        <v>247</v>
      </c>
      <c r="B27" s="2" t="s">
        <v>31</v>
      </c>
      <c r="C27" s="2" t="s">
        <v>77</v>
      </c>
      <c r="D27" s="95" t="s">
        <v>78</v>
      </c>
      <c r="E27" s="89"/>
      <c r="F27" s="2" t="s">
        <v>47</v>
      </c>
      <c r="G27" s="19">
        <f>'Rozpočet - vybrané sloupce'!G34</f>
        <v>3.06</v>
      </c>
      <c r="H27" s="19">
        <f>'Rozpočet - vybrané sloupce'!H34</f>
        <v>0</v>
      </c>
      <c r="I27" s="77" t="s">
        <v>230</v>
      </c>
      <c r="J27" s="19">
        <f>G27*AO27</f>
        <v>0</v>
      </c>
      <c r="K27" s="19">
        <f>G27*AP27</f>
        <v>0</v>
      </c>
      <c r="L27" s="19">
        <f>G27*H27</f>
        <v>0</v>
      </c>
      <c r="M27" s="19">
        <f>L27*(1+BW27/100)</f>
        <v>0</v>
      </c>
      <c r="N27" s="19">
        <v>0.63</v>
      </c>
      <c r="O27" s="19">
        <f>G27*N27</f>
        <v>1.9278</v>
      </c>
      <c r="P27" s="78" t="s">
        <v>34</v>
      </c>
      <c r="Z27" s="19">
        <f>IF(AQ27="5",BJ27,0)</f>
        <v>0</v>
      </c>
      <c r="AB27" s="19">
        <f>IF(AQ27="1",BH27,0)</f>
        <v>0</v>
      </c>
      <c r="AC27" s="19">
        <f>IF(AQ27="1",BI27,0)</f>
        <v>0</v>
      </c>
      <c r="AD27" s="19">
        <f>IF(AQ27="7",BH27,0)</f>
        <v>0</v>
      </c>
      <c r="AE27" s="19">
        <f>IF(AQ27="7",BI27,0)</f>
        <v>0</v>
      </c>
      <c r="AF27" s="19">
        <f>IF(AQ27="2",BH27,0)</f>
        <v>0</v>
      </c>
      <c r="AG27" s="19">
        <f>IF(AQ27="2",BI27,0)</f>
        <v>0</v>
      </c>
      <c r="AH27" s="19">
        <f>IF(AQ27="0",BJ27,0)</f>
        <v>0</v>
      </c>
      <c r="AI27" s="25" t="s">
        <v>31</v>
      </c>
      <c r="AJ27" s="19">
        <f>IF(AN27=0,L27,0)</f>
        <v>0</v>
      </c>
      <c r="AK27" s="19">
        <f>IF(AN27=12,L27,0)</f>
        <v>0</v>
      </c>
      <c r="AL27" s="19">
        <f>IF(AN27=21,L27,0)</f>
        <v>0</v>
      </c>
      <c r="AN27" s="19">
        <v>21</v>
      </c>
      <c r="AO27" s="19">
        <f>H27*0.631779264</f>
        <v>0</v>
      </c>
      <c r="AP27" s="19">
        <f>H27*(1-0.631779264)</f>
        <v>0</v>
      </c>
      <c r="AQ27" s="77" t="s">
        <v>229</v>
      </c>
      <c r="AV27" s="19">
        <f>AW27+AX27</f>
        <v>0</v>
      </c>
      <c r="AW27" s="19">
        <f>G27*AO27</f>
        <v>0</v>
      </c>
      <c r="AX27" s="19">
        <f>G27*AP27</f>
        <v>0</v>
      </c>
      <c r="AY27" s="77" t="s">
        <v>248</v>
      </c>
      <c r="AZ27" s="77" t="s">
        <v>249</v>
      </c>
      <c r="BA27" s="25" t="s">
        <v>233</v>
      </c>
      <c r="BC27" s="19">
        <f>AW27+AX27</f>
        <v>0</v>
      </c>
      <c r="BD27" s="19">
        <f>H27/(100-BE27)*100</f>
        <v>0</v>
      </c>
      <c r="BE27" s="19">
        <v>0</v>
      </c>
      <c r="BF27" s="19">
        <f>O27</f>
        <v>1.9278</v>
      </c>
      <c r="BH27" s="19">
        <f>G27*AO27</f>
        <v>0</v>
      </c>
      <c r="BI27" s="19">
        <f>G27*AP27</f>
        <v>0</v>
      </c>
      <c r="BJ27" s="19">
        <f>G27*H27</f>
        <v>0</v>
      </c>
      <c r="BK27" s="19"/>
      <c r="BL27" s="19">
        <v>59</v>
      </c>
      <c r="BW27" s="19" t="str">
        <f>I27</f>
        <v>21</v>
      </c>
      <c r="BX27" s="5" t="s">
        <v>78</v>
      </c>
    </row>
    <row r="28" spans="1:76" x14ac:dyDescent="0.25">
      <c r="A28" s="79" t="s">
        <v>31</v>
      </c>
      <c r="B28" s="23" t="s">
        <v>31</v>
      </c>
      <c r="C28" s="23" t="s">
        <v>80</v>
      </c>
      <c r="D28" s="160" t="s">
        <v>81</v>
      </c>
      <c r="E28" s="161"/>
      <c r="F28" s="80" t="s">
        <v>26</v>
      </c>
      <c r="G28" s="80" t="s">
        <v>26</v>
      </c>
      <c r="H28" s="80" t="s">
        <v>26</v>
      </c>
      <c r="I28" s="80" t="s">
        <v>26</v>
      </c>
      <c r="J28" s="26">
        <f>SUM(J29:J32)</f>
        <v>0</v>
      </c>
      <c r="K28" s="26">
        <f>SUM(K29:K32)</f>
        <v>0</v>
      </c>
      <c r="L28" s="26">
        <f>SUM(L29:L32)</f>
        <v>0</v>
      </c>
      <c r="M28" s="26">
        <f>SUM(M29:M32)</f>
        <v>0</v>
      </c>
      <c r="N28" s="25" t="s">
        <v>31</v>
      </c>
      <c r="O28" s="26">
        <f>SUM(O29:O32)</f>
        <v>0.54165129999999995</v>
      </c>
      <c r="P28" s="81" t="s">
        <v>31</v>
      </c>
      <c r="AI28" s="25" t="s">
        <v>31</v>
      </c>
      <c r="AS28" s="26">
        <f>SUM(AJ29:AJ32)</f>
        <v>0</v>
      </c>
      <c r="AT28" s="26">
        <f>SUM(AK29:AK32)</f>
        <v>0</v>
      </c>
      <c r="AU28" s="26">
        <f>SUM(AL29:AL32)</f>
        <v>0</v>
      </c>
    </row>
    <row r="29" spans="1:76" x14ac:dyDescent="0.25">
      <c r="A29" s="1" t="s">
        <v>27</v>
      </c>
      <c r="B29" s="2" t="s">
        <v>31</v>
      </c>
      <c r="C29" s="2" t="s">
        <v>82</v>
      </c>
      <c r="D29" s="95" t="s">
        <v>83</v>
      </c>
      <c r="E29" s="89"/>
      <c r="F29" s="2" t="s">
        <v>47</v>
      </c>
      <c r="G29" s="19">
        <f>'Rozpočet - vybrané sloupce'!G37</f>
        <v>11.84</v>
      </c>
      <c r="H29" s="19">
        <f>'Rozpočet - vybrané sloupce'!H37</f>
        <v>0</v>
      </c>
      <c r="I29" s="77" t="s">
        <v>230</v>
      </c>
      <c r="J29" s="19">
        <f>G29*AO29</f>
        <v>0</v>
      </c>
      <c r="K29" s="19">
        <f>G29*AP29</f>
        <v>0</v>
      </c>
      <c r="L29" s="19">
        <f>G29*H29</f>
        <v>0</v>
      </c>
      <c r="M29" s="19">
        <f>L29*(1+BW29/100)</f>
        <v>0</v>
      </c>
      <c r="N29" s="19">
        <v>5.1200000000000004E-3</v>
      </c>
      <c r="O29" s="19">
        <f>G29*N29</f>
        <v>6.0620800000000002E-2</v>
      </c>
      <c r="P29" s="78" t="s">
        <v>34</v>
      </c>
      <c r="Z29" s="19">
        <f>IF(AQ29="5",BJ29,0)</f>
        <v>0</v>
      </c>
      <c r="AB29" s="19">
        <f>IF(AQ29="1",BH29,0)</f>
        <v>0</v>
      </c>
      <c r="AC29" s="19">
        <f>IF(AQ29="1",BI29,0)</f>
        <v>0</v>
      </c>
      <c r="AD29" s="19">
        <f>IF(AQ29="7",BH29,0)</f>
        <v>0</v>
      </c>
      <c r="AE29" s="19">
        <f>IF(AQ29="7",BI29,0)</f>
        <v>0</v>
      </c>
      <c r="AF29" s="19">
        <f>IF(AQ29="2",BH29,0)</f>
        <v>0</v>
      </c>
      <c r="AG29" s="19">
        <f>IF(AQ29="2",BI29,0)</f>
        <v>0</v>
      </c>
      <c r="AH29" s="19">
        <f>IF(AQ29="0",BJ29,0)</f>
        <v>0</v>
      </c>
      <c r="AI29" s="25" t="s">
        <v>31</v>
      </c>
      <c r="AJ29" s="19">
        <f>IF(AN29=0,L29,0)</f>
        <v>0</v>
      </c>
      <c r="AK29" s="19">
        <f>IF(AN29=12,L29,0)</f>
        <v>0</v>
      </c>
      <c r="AL29" s="19">
        <f>IF(AN29=21,L29,0)</f>
        <v>0</v>
      </c>
      <c r="AN29" s="19">
        <v>21</v>
      </c>
      <c r="AO29" s="19">
        <f>H29*0.774379095</f>
        <v>0</v>
      </c>
      <c r="AP29" s="19">
        <f>H29*(1-0.774379095)</f>
        <v>0</v>
      </c>
      <c r="AQ29" s="77" t="s">
        <v>229</v>
      </c>
      <c r="AV29" s="19">
        <f>AW29+AX29</f>
        <v>0</v>
      </c>
      <c r="AW29" s="19">
        <f>G29*AO29</f>
        <v>0</v>
      </c>
      <c r="AX29" s="19">
        <f>G29*AP29</f>
        <v>0</v>
      </c>
      <c r="AY29" s="77" t="s">
        <v>250</v>
      </c>
      <c r="AZ29" s="77" t="s">
        <v>251</v>
      </c>
      <c r="BA29" s="25" t="s">
        <v>233</v>
      </c>
      <c r="BC29" s="19">
        <f>AW29+AX29</f>
        <v>0</v>
      </c>
      <c r="BD29" s="19">
        <f>H29/(100-BE29)*100</f>
        <v>0</v>
      </c>
      <c r="BE29" s="19">
        <v>0</v>
      </c>
      <c r="BF29" s="19">
        <f>O29</f>
        <v>6.0620800000000002E-2</v>
      </c>
      <c r="BH29" s="19">
        <f>G29*AO29</f>
        <v>0</v>
      </c>
      <c r="BI29" s="19">
        <f>G29*AP29</f>
        <v>0</v>
      </c>
      <c r="BJ29" s="19">
        <f>G29*H29</f>
        <v>0</v>
      </c>
      <c r="BK29" s="19"/>
      <c r="BL29" s="19">
        <v>60</v>
      </c>
      <c r="BW29" s="19" t="str">
        <f>I29</f>
        <v>21</v>
      </c>
      <c r="BX29" s="5" t="s">
        <v>83</v>
      </c>
    </row>
    <row r="30" spans="1:76" x14ac:dyDescent="0.25">
      <c r="A30" s="1" t="s">
        <v>252</v>
      </c>
      <c r="B30" s="2" t="s">
        <v>31</v>
      </c>
      <c r="C30" s="2" t="s">
        <v>87</v>
      </c>
      <c r="D30" s="95" t="s">
        <v>88</v>
      </c>
      <c r="E30" s="89"/>
      <c r="F30" s="2" t="s">
        <v>47</v>
      </c>
      <c r="G30" s="19">
        <f>'Rozpočet - vybrané sloupce'!G39</f>
        <v>11.84</v>
      </c>
      <c r="H30" s="19">
        <f>'Rozpočet - vybrané sloupce'!H39</f>
        <v>0</v>
      </c>
      <c r="I30" s="77" t="s">
        <v>230</v>
      </c>
      <c r="J30" s="19">
        <f>G30*AO30</f>
        <v>0</v>
      </c>
      <c r="K30" s="19">
        <f>G30*AP30</f>
        <v>0</v>
      </c>
      <c r="L30" s="19">
        <f>G30*H30</f>
        <v>0</v>
      </c>
      <c r="M30" s="19">
        <f>L30*(1+BW30/100)</f>
        <v>0</v>
      </c>
      <c r="N30" s="19">
        <v>3.175E-2</v>
      </c>
      <c r="O30" s="19">
        <f>G30*N30</f>
        <v>0.37591999999999998</v>
      </c>
      <c r="P30" s="78" t="s">
        <v>34</v>
      </c>
      <c r="Z30" s="19">
        <f>IF(AQ30="5",BJ30,0)</f>
        <v>0</v>
      </c>
      <c r="AB30" s="19">
        <f>IF(AQ30="1",BH30,0)</f>
        <v>0</v>
      </c>
      <c r="AC30" s="19">
        <f>IF(AQ30="1",BI30,0)</f>
        <v>0</v>
      </c>
      <c r="AD30" s="19">
        <f>IF(AQ30="7",BH30,0)</f>
        <v>0</v>
      </c>
      <c r="AE30" s="19">
        <f>IF(AQ30="7",BI30,0)</f>
        <v>0</v>
      </c>
      <c r="AF30" s="19">
        <f>IF(AQ30="2",BH30,0)</f>
        <v>0</v>
      </c>
      <c r="AG30" s="19">
        <f>IF(AQ30="2",BI30,0)</f>
        <v>0</v>
      </c>
      <c r="AH30" s="19">
        <f>IF(AQ30="0",BJ30,0)</f>
        <v>0</v>
      </c>
      <c r="AI30" s="25" t="s">
        <v>31</v>
      </c>
      <c r="AJ30" s="19">
        <f>IF(AN30=0,L30,0)</f>
        <v>0</v>
      </c>
      <c r="AK30" s="19">
        <f>IF(AN30=12,L30,0)</f>
        <v>0</v>
      </c>
      <c r="AL30" s="19">
        <f>IF(AN30=21,L30,0)</f>
        <v>0</v>
      </c>
      <c r="AN30" s="19">
        <v>21</v>
      </c>
      <c r="AO30" s="19">
        <f>H30*0.791616121</f>
        <v>0</v>
      </c>
      <c r="AP30" s="19">
        <f>H30*(1-0.791616121)</f>
        <v>0</v>
      </c>
      <c r="AQ30" s="77" t="s">
        <v>229</v>
      </c>
      <c r="AV30" s="19">
        <f>AW30+AX30</f>
        <v>0</v>
      </c>
      <c r="AW30" s="19">
        <f>G30*AO30</f>
        <v>0</v>
      </c>
      <c r="AX30" s="19">
        <f>G30*AP30</f>
        <v>0</v>
      </c>
      <c r="AY30" s="77" t="s">
        <v>250</v>
      </c>
      <c r="AZ30" s="77" t="s">
        <v>251</v>
      </c>
      <c r="BA30" s="25" t="s">
        <v>233</v>
      </c>
      <c r="BC30" s="19">
        <f>AW30+AX30</f>
        <v>0</v>
      </c>
      <c r="BD30" s="19">
        <f>H30/(100-BE30)*100</f>
        <v>0</v>
      </c>
      <c r="BE30" s="19">
        <v>0</v>
      </c>
      <c r="BF30" s="19">
        <f>O30</f>
        <v>0.37591999999999998</v>
      </c>
      <c r="BH30" s="19">
        <f>G30*AO30</f>
        <v>0</v>
      </c>
      <c r="BI30" s="19">
        <f>G30*AP30</f>
        <v>0</v>
      </c>
      <c r="BJ30" s="19">
        <f>G30*H30</f>
        <v>0</v>
      </c>
      <c r="BK30" s="19"/>
      <c r="BL30" s="19">
        <v>60</v>
      </c>
      <c r="BW30" s="19" t="str">
        <f>I30</f>
        <v>21</v>
      </c>
      <c r="BX30" s="5" t="s">
        <v>88</v>
      </c>
    </row>
    <row r="31" spans="1:76" x14ac:dyDescent="0.25">
      <c r="A31" s="1" t="s">
        <v>37</v>
      </c>
      <c r="B31" s="2" t="s">
        <v>31</v>
      </c>
      <c r="C31" s="2" t="s">
        <v>91</v>
      </c>
      <c r="D31" s="95" t="s">
        <v>92</v>
      </c>
      <c r="E31" s="89"/>
      <c r="F31" s="2" t="s">
        <v>47</v>
      </c>
      <c r="G31" s="19">
        <f>'Rozpočet - vybrané sloupce'!G40</f>
        <v>11.84</v>
      </c>
      <c r="H31" s="19">
        <f>'Rozpočet - vybrané sloupce'!H40</f>
        <v>0</v>
      </c>
      <c r="I31" s="77" t="s">
        <v>230</v>
      </c>
      <c r="J31" s="19">
        <f>G31*AO31</f>
        <v>0</v>
      </c>
      <c r="K31" s="19">
        <f>G31*AP31</f>
        <v>0</v>
      </c>
      <c r="L31" s="19">
        <f>G31*H31</f>
        <v>0</v>
      </c>
      <c r="M31" s="19">
        <f>L31*(1+BW31/100)</f>
        <v>0</v>
      </c>
      <c r="N31" s="19">
        <v>4.64E-3</v>
      </c>
      <c r="O31" s="19">
        <f>G31*N31</f>
        <v>5.4937600000000003E-2</v>
      </c>
      <c r="P31" s="78" t="s">
        <v>34</v>
      </c>
      <c r="Z31" s="19">
        <f>IF(AQ31="5",BJ31,0)</f>
        <v>0</v>
      </c>
      <c r="AB31" s="19">
        <f>IF(AQ31="1",BH31,0)</f>
        <v>0</v>
      </c>
      <c r="AC31" s="19">
        <f>IF(AQ31="1",BI31,0)</f>
        <v>0</v>
      </c>
      <c r="AD31" s="19">
        <f>IF(AQ31="7",BH31,0)</f>
        <v>0</v>
      </c>
      <c r="AE31" s="19">
        <f>IF(AQ31="7",BI31,0)</f>
        <v>0</v>
      </c>
      <c r="AF31" s="19">
        <f>IF(AQ31="2",BH31,0)</f>
        <v>0</v>
      </c>
      <c r="AG31" s="19">
        <f>IF(AQ31="2",BI31,0)</f>
        <v>0</v>
      </c>
      <c r="AH31" s="19">
        <f>IF(AQ31="0",BJ31,0)</f>
        <v>0</v>
      </c>
      <c r="AI31" s="25" t="s">
        <v>31</v>
      </c>
      <c r="AJ31" s="19">
        <f>IF(AN31=0,L31,0)</f>
        <v>0</v>
      </c>
      <c r="AK31" s="19">
        <f>IF(AN31=12,L31,0)</f>
        <v>0</v>
      </c>
      <c r="AL31" s="19">
        <f>IF(AN31=21,L31,0)</f>
        <v>0</v>
      </c>
      <c r="AN31" s="19">
        <v>21</v>
      </c>
      <c r="AO31" s="19">
        <f>H31*0.567967742</f>
        <v>0</v>
      </c>
      <c r="AP31" s="19">
        <f>H31*(1-0.567967742)</f>
        <v>0</v>
      </c>
      <c r="AQ31" s="77" t="s">
        <v>229</v>
      </c>
      <c r="AV31" s="19">
        <f>AW31+AX31</f>
        <v>0</v>
      </c>
      <c r="AW31" s="19">
        <f>G31*AO31</f>
        <v>0</v>
      </c>
      <c r="AX31" s="19">
        <f>G31*AP31</f>
        <v>0</v>
      </c>
      <c r="AY31" s="77" t="s">
        <v>250</v>
      </c>
      <c r="AZ31" s="77" t="s">
        <v>251</v>
      </c>
      <c r="BA31" s="25" t="s">
        <v>233</v>
      </c>
      <c r="BC31" s="19">
        <f>AW31+AX31</f>
        <v>0</v>
      </c>
      <c r="BD31" s="19">
        <f>H31/(100-BE31)*100</f>
        <v>0</v>
      </c>
      <c r="BE31" s="19">
        <v>0</v>
      </c>
      <c r="BF31" s="19">
        <f>O31</f>
        <v>5.4937600000000003E-2</v>
      </c>
      <c r="BH31" s="19">
        <f>G31*AO31</f>
        <v>0</v>
      </c>
      <c r="BI31" s="19">
        <f>G31*AP31</f>
        <v>0</v>
      </c>
      <c r="BJ31" s="19">
        <f>G31*H31</f>
        <v>0</v>
      </c>
      <c r="BK31" s="19"/>
      <c r="BL31" s="19">
        <v>60</v>
      </c>
      <c r="BW31" s="19" t="str">
        <f>I31</f>
        <v>21</v>
      </c>
      <c r="BX31" s="5" t="s">
        <v>92</v>
      </c>
    </row>
    <row r="32" spans="1:76" x14ac:dyDescent="0.25">
      <c r="A32" s="1" t="s">
        <v>253</v>
      </c>
      <c r="B32" s="2" t="s">
        <v>31</v>
      </c>
      <c r="C32" s="2" t="s">
        <v>93</v>
      </c>
      <c r="D32" s="95" t="s">
        <v>94</v>
      </c>
      <c r="E32" s="89"/>
      <c r="F32" s="2" t="s">
        <v>47</v>
      </c>
      <c r="G32" s="19">
        <f>'Rozpočet - vybrané sloupce'!G41</f>
        <v>2.37</v>
      </c>
      <c r="H32" s="19">
        <f>'Rozpočet - vybrané sloupce'!H41</f>
        <v>0</v>
      </c>
      <c r="I32" s="77" t="s">
        <v>230</v>
      </c>
      <c r="J32" s="19">
        <f>G32*AO32</f>
        <v>0</v>
      </c>
      <c r="K32" s="19">
        <f>G32*AP32</f>
        <v>0</v>
      </c>
      <c r="L32" s="19">
        <f>G32*H32</f>
        <v>0</v>
      </c>
      <c r="M32" s="19">
        <f>L32*(1+BW32/100)</f>
        <v>0</v>
      </c>
      <c r="N32" s="19">
        <v>2.1170000000000001E-2</v>
      </c>
      <c r="O32" s="19">
        <f>G32*N32</f>
        <v>5.0172900000000006E-2</v>
      </c>
      <c r="P32" s="78" t="s">
        <v>34</v>
      </c>
      <c r="Z32" s="19">
        <f>IF(AQ32="5",BJ32,0)</f>
        <v>0</v>
      </c>
      <c r="AB32" s="19">
        <f>IF(AQ32="1",BH32,0)</f>
        <v>0</v>
      </c>
      <c r="AC32" s="19">
        <f>IF(AQ32="1",BI32,0)</f>
        <v>0</v>
      </c>
      <c r="AD32" s="19">
        <f>IF(AQ32="7",BH32,0)</f>
        <v>0</v>
      </c>
      <c r="AE32" s="19">
        <f>IF(AQ32="7",BI32,0)</f>
        <v>0</v>
      </c>
      <c r="AF32" s="19">
        <f>IF(AQ32="2",BH32,0)</f>
        <v>0</v>
      </c>
      <c r="AG32" s="19">
        <f>IF(AQ32="2",BI32,0)</f>
        <v>0</v>
      </c>
      <c r="AH32" s="19">
        <f>IF(AQ32="0",BJ32,0)</f>
        <v>0</v>
      </c>
      <c r="AI32" s="25" t="s">
        <v>31</v>
      </c>
      <c r="AJ32" s="19">
        <f>IF(AN32=0,L32,0)</f>
        <v>0</v>
      </c>
      <c r="AK32" s="19">
        <f>IF(AN32=12,L32,0)</f>
        <v>0</v>
      </c>
      <c r="AL32" s="19">
        <f>IF(AN32=21,L32,0)</f>
        <v>0</v>
      </c>
      <c r="AN32" s="19">
        <v>21</v>
      </c>
      <c r="AO32" s="19">
        <f>H32*0.770017087</f>
        <v>0</v>
      </c>
      <c r="AP32" s="19">
        <f>H32*(1-0.770017087)</f>
        <v>0</v>
      </c>
      <c r="AQ32" s="77" t="s">
        <v>229</v>
      </c>
      <c r="AV32" s="19">
        <f>AW32+AX32</f>
        <v>0</v>
      </c>
      <c r="AW32" s="19">
        <f>G32*AO32</f>
        <v>0</v>
      </c>
      <c r="AX32" s="19">
        <f>G32*AP32</f>
        <v>0</v>
      </c>
      <c r="AY32" s="77" t="s">
        <v>250</v>
      </c>
      <c r="AZ32" s="77" t="s">
        <v>251</v>
      </c>
      <c r="BA32" s="25" t="s">
        <v>233</v>
      </c>
      <c r="BC32" s="19">
        <f>AW32+AX32</f>
        <v>0</v>
      </c>
      <c r="BD32" s="19">
        <f>H32/(100-BE32)*100</f>
        <v>0</v>
      </c>
      <c r="BE32" s="19">
        <v>0</v>
      </c>
      <c r="BF32" s="19">
        <f>O32</f>
        <v>5.0172900000000006E-2</v>
      </c>
      <c r="BH32" s="19">
        <f>G32*AO32</f>
        <v>0</v>
      </c>
      <c r="BI32" s="19">
        <f>G32*AP32</f>
        <v>0</v>
      </c>
      <c r="BJ32" s="19">
        <f>G32*H32</f>
        <v>0</v>
      </c>
      <c r="BK32" s="19"/>
      <c r="BL32" s="19">
        <v>60</v>
      </c>
      <c r="BW32" s="19" t="str">
        <f>I32</f>
        <v>21</v>
      </c>
      <c r="BX32" s="5" t="s">
        <v>94</v>
      </c>
    </row>
    <row r="33" spans="1:76" x14ac:dyDescent="0.25">
      <c r="A33" s="79" t="s">
        <v>31</v>
      </c>
      <c r="B33" s="23" t="s">
        <v>31</v>
      </c>
      <c r="C33" s="23" t="s">
        <v>98</v>
      </c>
      <c r="D33" s="160" t="s">
        <v>99</v>
      </c>
      <c r="E33" s="161"/>
      <c r="F33" s="80" t="s">
        <v>26</v>
      </c>
      <c r="G33" s="80" t="s">
        <v>26</v>
      </c>
      <c r="H33" s="80" t="s">
        <v>26</v>
      </c>
      <c r="I33" s="80" t="s">
        <v>26</v>
      </c>
      <c r="J33" s="26">
        <f>SUM(J34:J35)</f>
        <v>0</v>
      </c>
      <c r="K33" s="26">
        <f>SUM(K34:K35)</f>
        <v>0</v>
      </c>
      <c r="L33" s="26">
        <f>SUM(L34:L35)</f>
        <v>0</v>
      </c>
      <c r="M33" s="26">
        <f>SUM(M34:M35)</f>
        <v>0</v>
      </c>
      <c r="N33" s="25" t="s">
        <v>31</v>
      </c>
      <c r="O33" s="26">
        <f>SUM(O34:O35)</f>
        <v>5.9199999999999999E-3</v>
      </c>
      <c r="P33" s="81" t="s">
        <v>31</v>
      </c>
      <c r="AI33" s="25" t="s">
        <v>31</v>
      </c>
      <c r="AS33" s="26">
        <f>SUM(AJ34:AJ35)</f>
        <v>0</v>
      </c>
      <c r="AT33" s="26">
        <f>SUM(AK34:AK35)</f>
        <v>0</v>
      </c>
      <c r="AU33" s="26">
        <f>SUM(AL34:AL35)</f>
        <v>0</v>
      </c>
    </row>
    <row r="34" spans="1:76" x14ac:dyDescent="0.25">
      <c r="A34" s="1" t="s">
        <v>43</v>
      </c>
      <c r="B34" s="2" t="s">
        <v>31</v>
      </c>
      <c r="C34" s="2" t="s">
        <v>100</v>
      </c>
      <c r="D34" s="95" t="s">
        <v>101</v>
      </c>
      <c r="E34" s="89"/>
      <c r="F34" s="2" t="s">
        <v>47</v>
      </c>
      <c r="G34" s="19">
        <f>'Rozpočet - vybrané sloupce'!G44</f>
        <v>35.200000000000003</v>
      </c>
      <c r="H34" s="19">
        <f>'Rozpočet - vybrané sloupce'!H44</f>
        <v>0</v>
      </c>
      <c r="I34" s="77" t="s">
        <v>230</v>
      </c>
      <c r="J34" s="19">
        <f>G34*AO34</f>
        <v>0</v>
      </c>
      <c r="K34" s="19">
        <f>G34*AP34</f>
        <v>0</v>
      </c>
      <c r="L34" s="19">
        <f>G34*H34</f>
        <v>0</v>
      </c>
      <c r="M34" s="19">
        <f>L34*(1+BW34/100)</f>
        <v>0</v>
      </c>
      <c r="N34" s="19">
        <v>0</v>
      </c>
      <c r="O34" s="19">
        <f>G34*N34</f>
        <v>0</v>
      </c>
      <c r="P34" s="78" t="s">
        <v>34</v>
      </c>
      <c r="Z34" s="19">
        <f>IF(AQ34="5",BJ34,0)</f>
        <v>0</v>
      </c>
      <c r="AB34" s="19">
        <f>IF(AQ34="1",BH34,0)</f>
        <v>0</v>
      </c>
      <c r="AC34" s="19">
        <f>IF(AQ34="1",BI34,0)</f>
        <v>0</v>
      </c>
      <c r="AD34" s="19">
        <f>IF(AQ34="7",BH34,0)</f>
        <v>0</v>
      </c>
      <c r="AE34" s="19">
        <f>IF(AQ34="7",BI34,0)</f>
        <v>0</v>
      </c>
      <c r="AF34" s="19">
        <f>IF(AQ34="2",BH34,0)</f>
        <v>0</v>
      </c>
      <c r="AG34" s="19">
        <f>IF(AQ34="2",BI34,0)</f>
        <v>0</v>
      </c>
      <c r="AH34" s="19">
        <f>IF(AQ34="0",BJ34,0)</f>
        <v>0</v>
      </c>
      <c r="AI34" s="25" t="s">
        <v>31</v>
      </c>
      <c r="AJ34" s="19">
        <f>IF(AN34=0,L34,0)</f>
        <v>0</v>
      </c>
      <c r="AK34" s="19">
        <f>IF(AN34=12,L34,0)</f>
        <v>0</v>
      </c>
      <c r="AL34" s="19">
        <f>IF(AN34=21,L34,0)</f>
        <v>0</v>
      </c>
      <c r="AN34" s="19">
        <v>21</v>
      </c>
      <c r="AO34" s="19">
        <f>H34*0</f>
        <v>0</v>
      </c>
      <c r="AP34" s="19">
        <f>H34*(1-0)</f>
        <v>0</v>
      </c>
      <c r="AQ34" s="77" t="s">
        <v>229</v>
      </c>
      <c r="AV34" s="19">
        <f>AW34+AX34</f>
        <v>0</v>
      </c>
      <c r="AW34" s="19">
        <f>G34*AO34</f>
        <v>0</v>
      </c>
      <c r="AX34" s="19">
        <f>G34*AP34</f>
        <v>0</v>
      </c>
      <c r="AY34" s="77" t="s">
        <v>254</v>
      </c>
      <c r="AZ34" s="77" t="s">
        <v>251</v>
      </c>
      <c r="BA34" s="25" t="s">
        <v>233</v>
      </c>
      <c r="BC34" s="19">
        <f>AW34+AX34</f>
        <v>0</v>
      </c>
      <c r="BD34" s="19">
        <f>H34/(100-BE34)*100</f>
        <v>0</v>
      </c>
      <c r="BE34" s="19">
        <v>0</v>
      </c>
      <c r="BF34" s="19">
        <f>O34</f>
        <v>0</v>
      </c>
      <c r="BH34" s="19">
        <f>G34*AO34</f>
        <v>0</v>
      </c>
      <c r="BI34" s="19">
        <f>G34*AP34</f>
        <v>0</v>
      </c>
      <c r="BJ34" s="19">
        <f>G34*H34</f>
        <v>0</v>
      </c>
      <c r="BK34" s="19"/>
      <c r="BL34" s="19">
        <v>62</v>
      </c>
      <c r="BW34" s="19" t="str">
        <f>I34</f>
        <v>21</v>
      </c>
      <c r="BX34" s="5" t="s">
        <v>101</v>
      </c>
    </row>
    <row r="35" spans="1:76" x14ac:dyDescent="0.25">
      <c r="A35" s="1" t="s">
        <v>255</v>
      </c>
      <c r="B35" s="2" t="s">
        <v>31</v>
      </c>
      <c r="C35" s="2" t="s">
        <v>105</v>
      </c>
      <c r="D35" s="95" t="s">
        <v>106</v>
      </c>
      <c r="E35" s="89"/>
      <c r="F35" s="2" t="s">
        <v>47</v>
      </c>
      <c r="G35" s="19">
        <f>'Rozpočet - vybrané sloupce'!G47</f>
        <v>11.84</v>
      </c>
      <c r="H35" s="19">
        <f>'Rozpočet - vybrané sloupce'!H47</f>
        <v>0</v>
      </c>
      <c r="I35" s="77" t="s">
        <v>230</v>
      </c>
      <c r="J35" s="19">
        <f>G35*AO35</f>
        <v>0</v>
      </c>
      <c r="K35" s="19">
        <f>G35*AP35</f>
        <v>0</v>
      </c>
      <c r="L35" s="19">
        <f>G35*H35</f>
        <v>0</v>
      </c>
      <c r="M35" s="19">
        <f>L35*(1+BW35/100)</f>
        <v>0</v>
      </c>
      <c r="N35" s="19">
        <v>5.0000000000000001E-4</v>
      </c>
      <c r="O35" s="19">
        <f>G35*N35</f>
        <v>5.9199999999999999E-3</v>
      </c>
      <c r="P35" s="78" t="s">
        <v>34</v>
      </c>
      <c r="Z35" s="19">
        <f>IF(AQ35="5",BJ35,0)</f>
        <v>0</v>
      </c>
      <c r="AB35" s="19">
        <f>IF(AQ35="1",BH35,0)</f>
        <v>0</v>
      </c>
      <c r="AC35" s="19">
        <f>IF(AQ35="1",BI35,0)</f>
        <v>0</v>
      </c>
      <c r="AD35" s="19">
        <f>IF(AQ35="7",BH35,0)</f>
        <v>0</v>
      </c>
      <c r="AE35" s="19">
        <f>IF(AQ35="7",BI35,0)</f>
        <v>0</v>
      </c>
      <c r="AF35" s="19">
        <f>IF(AQ35="2",BH35,0)</f>
        <v>0</v>
      </c>
      <c r="AG35" s="19">
        <f>IF(AQ35="2",BI35,0)</f>
        <v>0</v>
      </c>
      <c r="AH35" s="19">
        <f>IF(AQ35="0",BJ35,0)</f>
        <v>0</v>
      </c>
      <c r="AI35" s="25" t="s">
        <v>31</v>
      </c>
      <c r="AJ35" s="19">
        <f>IF(AN35=0,L35,0)</f>
        <v>0</v>
      </c>
      <c r="AK35" s="19">
        <f>IF(AN35=12,L35,0)</f>
        <v>0</v>
      </c>
      <c r="AL35" s="19">
        <f>IF(AN35=21,L35,0)</f>
        <v>0</v>
      </c>
      <c r="AN35" s="19">
        <v>21</v>
      </c>
      <c r="AO35" s="19">
        <f>H35*0.750747961</f>
        <v>0</v>
      </c>
      <c r="AP35" s="19">
        <f>H35*(1-0.750747961)</f>
        <v>0</v>
      </c>
      <c r="AQ35" s="77" t="s">
        <v>229</v>
      </c>
      <c r="AV35" s="19">
        <f>AW35+AX35</f>
        <v>0</v>
      </c>
      <c r="AW35" s="19">
        <f>G35*AO35</f>
        <v>0</v>
      </c>
      <c r="AX35" s="19">
        <f>G35*AP35</f>
        <v>0</v>
      </c>
      <c r="AY35" s="77" t="s">
        <v>254</v>
      </c>
      <c r="AZ35" s="77" t="s">
        <v>251</v>
      </c>
      <c r="BA35" s="25" t="s">
        <v>233</v>
      </c>
      <c r="BC35" s="19">
        <f>AW35+AX35</f>
        <v>0</v>
      </c>
      <c r="BD35" s="19">
        <f>H35/(100-BE35)*100</f>
        <v>0</v>
      </c>
      <c r="BE35" s="19">
        <v>0</v>
      </c>
      <c r="BF35" s="19">
        <f>O35</f>
        <v>5.9199999999999999E-3</v>
      </c>
      <c r="BH35" s="19">
        <f>G35*AO35</f>
        <v>0</v>
      </c>
      <c r="BI35" s="19">
        <f>G35*AP35</f>
        <v>0</v>
      </c>
      <c r="BJ35" s="19">
        <f>G35*H35</f>
        <v>0</v>
      </c>
      <c r="BK35" s="19"/>
      <c r="BL35" s="19">
        <v>62</v>
      </c>
      <c r="BW35" s="19" t="str">
        <f>I35</f>
        <v>21</v>
      </c>
      <c r="BX35" s="5" t="s">
        <v>106</v>
      </c>
    </row>
    <row r="36" spans="1:76" x14ac:dyDescent="0.25">
      <c r="A36" s="79" t="s">
        <v>31</v>
      </c>
      <c r="B36" s="23" t="s">
        <v>31</v>
      </c>
      <c r="C36" s="23" t="s">
        <v>108</v>
      </c>
      <c r="D36" s="160" t="s">
        <v>109</v>
      </c>
      <c r="E36" s="161"/>
      <c r="F36" s="80" t="s">
        <v>26</v>
      </c>
      <c r="G36" s="80" t="s">
        <v>26</v>
      </c>
      <c r="H36" s="80" t="s">
        <v>26</v>
      </c>
      <c r="I36" s="80" t="s">
        <v>26</v>
      </c>
      <c r="J36" s="26">
        <f>SUM(J37:J41)</f>
        <v>0</v>
      </c>
      <c r="K36" s="26">
        <f>SUM(K37:K41)</f>
        <v>0</v>
      </c>
      <c r="L36" s="26">
        <f>SUM(L37:L41)</f>
        <v>0</v>
      </c>
      <c r="M36" s="26">
        <f>SUM(M37:M41)</f>
        <v>0</v>
      </c>
      <c r="N36" s="25" t="s">
        <v>31</v>
      </c>
      <c r="O36" s="26">
        <f>SUM(O37:O41)</f>
        <v>0.15575840000000002</v>
      </c>
      <c r="P36" s="81" t="s">
        <v>31</v>
      </c>
      <c r="AI36" s="25" t="s">
        <v>31</v>
      </c>
      <c r="AS36" s="26">
        <f>SUM(AJ37:AJ41)</f>
        <v>0</v>
      </c>
      <c r="AT36" s="26">
        <f>SUM(AK37:AK41)</f>
        <v>0</v>
      </c>
      <c r="AU36" s="26">
        <f>SUM(AL37:AL41)</f>
        <v>0</v>
      </c>
    </row>
    <row r="37" spans="1:76" x14ac:dyDescent="0.25">
      <c r="A37" s="1" t="s">
        <v>57</v>
      </c>
      <c r="B37" s="2" t="s">
        <v>31</v>
      </c>
      <c r="C37" s="2" t="s">
        <v>110</v>
      </c>
      <c r="D37" s="95" t="s">
        <v>111</v>
      </c>
      <c r="E37" s="89"/>
      <c r="F37" s="2" t="s">
        <v>47</v>
      </c>
      <c r="G37" s="19">
        <f>'Rozpočet - vybrané sloupce'!G49</f>
        <v>8.8800000000000008</v>
      </c>
      <c r="H37" s="19">
        <f>'Rozpočet - vybrané sloupce'!H49</f>
        <v>0</v>
      </c>
      <c r="I37" s="77" t="s">
        <v>230</v>
      </c>
      <c r="J37" s="19">
        <f>G37*AO37</f>
        <v>0</v>
      </c>
      <c r="K37" s="19">
        <f>G37*AP37</f>
        <v>0</v>
      </c>
      <c r="L37" s="19">
        <f>G37*H37</f>
        <v>0</v>
      </c>
      <c r="M37" s="19">
        <f>L37*(1+BW37/100)</f>
        <v>0</v>
      </c>
      <c r="N37" s="19">
        <v>3.15E-3</v>
      </c>
      <c r="O37" s="19">
        <f>G37*N37</f>
        <v>2.7972000000000004E-2</v>
      </c>
      <c r="P37" s="78" t="s">
        <v>34</v>
      </c>
      <c r="Z37" s="19">
        <f>IF(AQ37="5",BJ37,0)</f>
        <v>0</v>
      </c>
      <c r="AB37" s="19">
        <f>IF(AQ37="1",BH37,0)</f>
        <v>0</v>
      </c>
      <c r="AC37" s="19">
        <f>IF(AQ37="1",BI37,0)</f>
        <v>0</v>
      </c>
      <c r="AD37" s="19">
        <f>IF(AQ37="7",BH37,0)</f>
        <v>0</v>
      </c>
      <c r="AE37" s="19">
        <f>IF(AQ37="7",BI37,0)</f>
        <v>0</v>
      </c>
      <c r="AF37" s="19">
        <f>IF(AQ37="2",BH37,0)</f>
        <v>0</v>
      </c>
      <c r="AG37" s="19">
        <f>IF(AQ37="2",BI37,0)</f>
        <v>0</v>
      </c>
      <c r="AH37" s="19">
        <f>IF(AQ37="0",BJ37,0)</f>
        <v>0</v>
      </c>
      <c r="AI37" s="25" t="s">
        <v>31</v>
      </c>
      <c r="AJ37" s="19">
        <f>IF(AN37=0,L37,0)</f>
        <v>0</v>
      </c>
      <c r="AK37" s="19">
        <f>IF(AN37=12,L37,0)</f>
        <v>0</v>
      </c>
      <c r="AL37" s="19">
        <f>IF(AN37=21,L37,0)</f>
        <v>0</v>
      </c>
      <c r="AN37" s="19">
        <v>21</v>
      </c>
      <c r="AO37" s="19">
        <f>H37*0.570513886</f>
        <v>0</v>
      </c>
      <c r="AP37" s="19">
        <f>H37*(1-0.570513886)</f>
        <v>0</v>
      </c>
      <c r="AQ37" s="77" t="s">
        <v>241</v>
      </c>
      <c r="AV37" s="19">
        <f>AW37+AX37</f>
        <v>0</v>
      </c>
      <c r="AW37" s="19">
        <f>G37*AO37</f>
        <v>0</v>
      </c>
      <c r="AX37" s="19">
        <f>G37*AP37</f>
        <v>0</v>
      </c>
      <c r="AY37" s="77" t="s">
        <v>256</v>
      </c>
      <c r="AZ37" s="77" t="s">
        <v>257</v>
      </c>
      <c r="BA37" s="25" t="s">
        <v>233</v>
      </c>
      <c r="BC37" s="19">
        <f>AW37+AX37</f>
        <v>0</v>
      </c>
      <c r="BD37" s="19">
        <f>H37/(100-BE37)*100</f>
        <v>0</v>
      </c>
      <c r="BE37" s="19">
        <v>0</v>
      </c>
      <c r="BF37" s="19">
        <f>O37</f>
        <v>2.7972000000000004E-2</v>
      </c>
      <c r="BH37" s="19">
        <f>G37*AO37</f>
        <v>0</v>
      </c>
      <c r="BI37" s="19">
        <f>G37*AP37</f>
        <v>0</v>
      </c>
      <c r="BJ37" s="19">
        <f>G37*H37</f>
        <v>0</v>
      </c>
      <c r="BK37" s="19"/>
      <c r="BL37" s="19">
        <v>711</v>
      </c>
      <c r="BW37" s="19" t="str">
        <f>I37</f>
        <v>21</v>
      </c>
      <c r="BX37" s="5" t="s">
        <v>111</v>
      </c>
    </row>
    <row r="38" spans="1:76" x14ac:dyDescent="0.25">
      <c r="A38" s="1" t="s">
        <v>258</v>
      </c>
      <c r="B38" s="2" t="s">
        <v>31</v>
      </c>
      <c r="C38" s="2" t="s">
        <v>115</v>
      </c>
      <c r="D38" s="95" t="s">
        <v>116</v>
      </c>
      <c r="E38" s="89"/>
      <c r="F38" s="2" t="s">
        <v>47</v>
      </c>
      <c r="G38" s="19">
        <f>'Rozpočet - vybrané sloupce'!G51</f>
        <v>23.36</v>
      </c>
      <c r="H38" s="19">
        <f>'Rozpočet - vybrané sloupce'!H51</f>
        <v>0</v>
      </c>
      <c r="I38" s="77" t="s">
        <v>230</v>
      </c>
      <c r="J38" s="19">
        <f>G38*AO38</f>
        <v>0</v>
      </c>
      <c r="K38" s="19">
        <f>G38*AP38</f>
        <v>0</v>
      </c>
      <c r="L38" s="19">
        <f>G38*H38</f>
        <v>0</v>
      </c>
      <c r="M38" s="19">
        <f>L38*(1+BW38/100)</f>
        <v>0</v>
      </c>
      <c r="N38" s="19">
        <v>3.7799999999999999E-3</v>
      </c>
      <c r="O38" s="19">
        <f>G38*N38</f>
        <v>8.8300799999999999E-2</v>
      </c>
      <c r="P38" s="78" t="s">
        <v>34</v>
      </c>
      <c r="Z38" s="19">
        <f>IF(AQ38="5",BJ38,0)</f>
        <v>0</v>
      </c>
      <c r="AB38" s="19">
        <f>IF(AQ38="1",BH38,0)</f>
        <v>0</v>
      </c>
      <c r="AC38" s="19">
        <f>IF(AQ38="1",BI38,0)</f>
        <v>0</v>
      </c>
      <c r="AD38" s="19">
        <f>IF(AQ38="7",BH38,0)</f>
        <v>0</v>
      </c>
      <c r="AE38" s="19">
        <f>IF(AQ38="7",BI38,0)</f>
        <v>0</v>
      </c>
      <c r="AF38" s="19">
        <f>IF(AQ38="2",BH38,0)</f>
        <v>0</v>
      </c>
      <c r="AG38" s="19">
        <f>IF(AQ38="2",BI38,0)</f>
        <v>0</v>
      </c>
      <c r="AH38" s="19">
        <f>IF(AQ38="0",BJ38,0)</f>
        <v>0</v>
      </c>
      <c r="AI38" s="25" t="s">
        <v>31</v>
      </c>
      <c r="AJ38" s="19">
        <f>IF(AN38=0,L38,0)</f>
        <v>0</v>
      </c>
      <c r="AK38" s="19">
        <f>IF(AN38=12,L38,0)</f>
        <v>0</v>
      </c>
      <c r="AL38" s="19">
        <f>IF(AN38=21,L38,0)</f>
        <v>0</v>
      </c>
      <c r="AN38" s="19">
        <v>21</v>
      </c>
      <c r="AO38" s="19">
        <f>H38*0.729828087</f>
        <v>0</v>
      </c>
      <c r="AP38" s="19">
        <f>H38*(1-0.729828087)</f>
        <v>0</v>
      </c>
      <c r="AQ38" s="77" t="s">
        <v>241</v>
      </c>
      <c r="AV38" s="19">
        <f>AW38+AX38</f>
        <v>0</v>
      </c>
      <c r="AW38" s="19">
        <f>G38*AO38</f>
        <v>0</v>
      </c>
      <c r="AX38" s="19">
        <f>G38*AP38</f>
        <v>0</v>
      </c>
      <c r="AY38" s="77" t="s">
        <v>256</v>
      </c>
      <c r="AZ38" s="77" t="s">
        <v>257</v>
      </c>
      <c r="BA38" s="25" t="s">
        <v>233</v>
      </c>
      <c r="BC38" s="19">
        <f>AW38+AX38</f>
        <v>0</v>
      </c>
      <c r="BD38" s="19">
        <f>H38/(100-BE38)*100</f>
        <v>0</v>
      </c>
      <c r="BE38" s="19">
        <v>0</v>
      </c>
      <c r="BF38" s="19">
        <f>O38</f>
        <v>8.8300799999999999E-2</v>
      </c>
      <c r="BH38" s="19">
        <f>G38*AO38</f>
        <v>0</v>
      </c>
      <c r="BI38" s="19">
        <f>G38*AP38</f>
        <v>0</v>
      </c>
      <c r="BJ38" s="19">
        <f>G38*H38</f>
        <v>0</v>
      </c>
      <c r="BK38" s="19"/>
      <c r="BL38" s="19">
        <v>711</v>
      </c>
      <c r="BW38" s="19" t="str">
        <f>I38</f>
        <v>21</v>
      </c>
      <c r="BX38" s="5" t="s">
        <v>116</v>
      </c>
    </row>
    <row r="39" spans="1:76" x14ac:dyDescent="0.25">
      <c r="A39" s="1" t="s">
        <v>259</v>
      </c>
      <c r="B39" s="2" t="s">
        <v>31</v>
      </c>
      <c r="C39" s="2" t="s">
        <v>120</v>
      </c>
      <c r="D39" s="95" t="s">
        <v>121</v>
      </c>
      <c r="E39" s="89"/>
      <c r="F39" s="2" t="s">
        <v>47</v>
      </c>
      <c r="G39" s="19">
        <f>'Rozpočet - vybrané sloupce'!G54</f>
        <v>25.7</v>
      </c>
      <c r="H39" s="19">
        <f>'Rozpočet - vybrané sloupce'!H54</f>
        <v>0</v>
      </c>
      <c r="I39" s="77" t="s">
        <v>230</v>
      </c>
      <c r="J39" s="19">
        <f>G39*AO39</f>
        <v>0</v>
      </c>
      <c r="K39" s="19">
        <f>G39*AP39</f>
        <v>0</v>
      </c>
      <c r="L39" s="19">
        <f>G39*H39</f>
        <v>0</v>
      </c>
      <c r="M39" s="19">
        <f>L39*(1+BW39/100)</f>
        <v>0</v>
      </c>
      <c r="N39" s="19">
        <v>9.2000000000000003E-4</v>
      </c>
      <c r="O39" s="19">
        <f>G39*N39</f>
        <v>2.3643999999999998E-2</v>
      </c>
      <c r="P39" s="78" t="s">
        <v>34</v>
      </c>
      <c r="Z39" s="19">
        <f>IF(AQ39="5",BJ39,0)</f>
        <v>0</v>
      </c>
      <c r="AB39" s="19">
        <f>IF(AQ39="1",BH39,0)</f>
        <v>0</v>
      </c>
      <c r="AC39" s="19">
        <f>IF(AQ39="1",BI39,0)</f>
        <v>0</v>
      </c>
      <c r="AD39" s="19">
        <f>IF(AQ39="7",BH39,0)</f>
        <v>0</v>
      </c>
      <c r="AE39" s="19">
        <f>IF(AQ39="7",BI39,0)</f>
        <v>0</v>
      </c>
      <c r="AF39" s="19">
        <f>IF(AQ39="2",BH39,0)</f>
        <v>0</v>
      </c>
      <c r="AG39" s="19">
        <f>IF(AQ39="2",BI39,0)</f>
        <v>0</v>
      </c>
      <c r="AH39" s="19">
        <f>IF(AQ39="0",BJ39,0)</f>
        <v>0</v>
      </c>
      <c r="AI39" s="25" t="s">
        <v>31</v>
      </c>
      <c r="AJ39" s="19">
        <f>IF(AN39=0,L39,0)</f>
        <v>0</v>
      </c>
      <c r="AK39" s="19">
        <f>IF(AN39=12,L39,0)</f>
        <v>0</v>
      </c>
      <c r="AL39" s="19">
        <f>IF(AN39=21,L39,0)</f>
        <v>0</v>
      </c>
      <c r="AN39" s="19">
        <v>21</v>
      </c>
      <c r="AO39" s="19">
        <f>H39*0.698885246</f>
        <v>0</v>
      </c>
      <c r="AP39" s="19">
        <f>H39*(1-0.698885246)</f>
        <v>0</v>
      </c>
      <c r="AQ39" s="77" t="s">
        <v>241</v>
      </c>
      <c r="AV39" s="19">
        <f>AW39+AX39</f>
        <v>0</v>
      </c>
      <c r="AW39" s="19">
        <f>G39*AO39</f>
        <v>0</v>
      </c>
      <c r="AX39" s="19">
        <f>G39*AP39</f>
        <v>0</v>
      </c>
      <c r="AY39" s="77" t="s">
        <v>256</v>
      </c>
      <c r="AZ39" s="77" t="s">
        <v>257</v>
      </c>
      <c r="BA39" s="25" t="s">
        <v>233</v>
      </c>
      <c r="BC39" s="19">
        <f>AW39+AX39</f>
        <v>0</v>
      </c>
      <c r="BD39" s="19">
        <f>H39/(100-BE39)*100</f>
        <v>0</v>
      </c>
      <c r="BE39" s="19">
        <v>0</v>
      </c>
      <c r="BF39" s="19">
        <f>O39</f>
        <v>2.3643999999999998E-2</v>
      </c>
      <c r="BH39" s="19">
        <f>G39*AO39</f>
        <v>0</v>
      </c>
      <c r="BI39" s="19">
        <f>G39*AP39</f>
        <v>0</v>
      </c>
      <c r="BJ39" s="19">
        <f>G39*H39</f>
        <v>0</v>
      </c>
      <c r="BK39" s="19"/>
      <c r="BL39" s="19">
        <v>711</v>
      </c>
      <c r="BW39" s="19" t="str">
        <f>I39</f>
        <v>21</v>
      </c>
      <c r="BX39" s="5" t="s">
        <v>121</v>
      </c>
    </row>
    <row r="40" spans="1:76" x14ac:dyDescent="0.25">
      <c r="A40" s="1" t="s">
        <v>260</v>
      </c>
      <c r="B40" s="2" t="s">
        <v>31</v>
      </c>
      <c r="C40" s="2" t="s">
        <v>124</v>
      </c>
      <c r="D40" s="95" t="s">
        <v>125</v>
      </c>
      <c r="E40" s="89"/>
      <c r="F40" s="2" t="s">
        <v>72</v>
      </c>
      <c r="G40" s="19">
        <f>'Rozpočet - vybrané sloupce'!G56</f>
        <v>29.6</v>
      </c>
      <c r="H40" s="19">
        <f>'Rozpočet - vybrané sloupce'!H56</f>
        <v>0</v>
      </c>
      <c r="I40" s="77" t="s">
        <v>230</v>
      </c>
      <c r="J40" s="19">
        <f>G40*AO40</f>
        <v>0</v>
      </c>
      <c r="K40" s="19">
        <f>G40*AP40</f>
        <v>0</v>
      </c>
      <c r="L40" s="19">
        <f>G40*H40</f>
        <v>0</v>
      </c>
      <c r="M40" s="19">
        <f>L40*(1+BW40/100)</f>
        <v>0</v>
      </c>
      <c r="N40" s="19">
        <v>3.3E-4</v>
      </c>
      <c r="O40" s="19">
        <f>G40*N40</f>
        <v>9.7680000000000006E-3</v>
      </c>
      <c r="P40" s="78" t="s">
        <v>34</v>
      </c>
      <c r="Z40" s="19">
        <f>IF(AQ40="5",BJ40,0)</f>
        <v>0</v>
      </c>
      <c r="AB40" s="19">
        <f>IF(AQ40="1",BH40,0)</f>
        <v>0</v>
      </c>
      <c r="AC40" s="19">
        <f>IF(AQ40="1",BI40,0)</f>
        <v>0</v>
      </c>
      <c r="AD40" s="19">
        <f>IF(AQ40="7",BH40,0)</f>
        <v>0</v>
      </c>
      <c r="AE40" s="19">
        <f>IF(AQ40="7",BI40,0)</f>
        <v>0</v>
      </c>
      <c r="AF40" s="19">
        <f>IF(AQ40="2",BH40,0)</f>
        <v>0</v>
      </c>
      <c r="AG40" s="19">
        <f>IF(AQ40="2",BI40,0)</f>
        <v>0</v>
      </c>
      <c r="AH40" s="19">
        <f>IF(AQ40="0",BJ40,0)</f>
        <v>0</v>
      </c>
      <c r="AI40" s="25" t="s">
        <v>31</v>
      </c>
      <c r="AJ40" s="19">
        <f>IF(AN40=0,L40,0)</f>
        <v>0</v>
      </c>
      <c r="AK40" s="19">
        <f>IF(AN40=12,L40,0)</f>
        <v>0</v>
      </c>
      <c r="AL40" s="19">
        <f>IF(AN40=21,L40,0)</f>
        <v>0</v>
      </c>
      <c r="AN40" s="19">
        <v>21</v>
      </c>
      <c r="AO40" s="19">
        <f>H40*0.740271493</f>
        <v>0</v>
      </c>
      <c r="AP40" s="19">
        <f>H40*(1-0.740271493)</f>
        <v>0</v>
      </c>
      <c r="AQ40" s="77" t="s">
        <v>241</v>
      </c>
      <c r="AV40" s="19">
        <f>AW40+AX40</f>
        <v>0</v>
      </c>
      <c r="AW40" s="19">
        <f>G40*AO40</f>
        <v>0</v>
      </c>
      <c r="AX40" s="19">
        <f>G40*AP40</f>
        <v>0</v>
      </c>
      <c r="AY40" s="77" t="s">
        <v>256</v>
      </c>
      <c r="AZ40" s="77" t="s">
        <v>257</v>
      </c>
      <c r="BA40" s="25" t="s">
        <v>233</v>
      </c>
      <c r="BC40" s="19">
        <f>AW40+AX40</f>
        <v>0</v>
      </c>
      <c r="BD40" s="19">
        <f>H40/(100-BE40)*100</f>
        <v>0</v>
      </c>
      <c r="BE40" s="19">
        <v>0</v>
      </c>
      <c r="BF40" s="19">
        <f>O40</f>
        <v>9.7680000000000006E-3</v>
      </c>
      <c r="BH40" s="19">
        <f>G40*AO40</f>
        <v>0</v>
      </c>
      <c r="BI40" s="19">
        <f>G40*AP40</f>
        <v>0</v>
      </c>
      <c r="BJ40" s="19">
        <f>G40*H40</f>
        <v>0</v>
      </c>
      <c r="BK40" s="19"/>
      <c r="BL40" s="19">
        <v>711</v>
      </c>
      <c r="BW40" s="19" t="str">
        <f>I40</f>
        <v>21</v>
      </c>
      <c r="BX40" s="5" t="s">
        <v>125</v>
      </c>
    </row>
    <row r="41" spans="1:76" x14ac:dyDescent="0.25">
      <c r="A41" s="1" t="s">
        <v>230</v>
      </c>
      <c r="B41" s="2" t="s">
        <v>31</v>
      </c>
      <c r="C41" s="2" t="s">
        <v>127</v>
      </c>
      <c r="D41" s="95" t="s">
        <v>128</v>
      </c>
      <c r="E41" s="89"/>
      <c r="F41" s="2" t="s">
        <v>47</v>
      </c>
      <c r="G41" s="19">
        <f>'Rozpočet - vybrané sloupce'!G59</f>
        <v>23.36</v>
      </c>
      <c r="H41" s="19">
        <f>'Rozpočet - vybrané sloupce'!H59</f>
        <v>0</v>
      </c>
      <c r="I41" s="77" t="s">
        <v>230</v>
      </c>
      <c r="J41" s="19">
        <f>G41*AO41</f>
        <v>0</v>
      </c>
      <c r="K41" s="19">
        <f>G41*AP41</f>
        <v>0</v>
      </c>
      <c r="L41" s="19">
        <f>G41*H41</f>
        <v>0</v>
      </c>
      <c r="M41" s="19">
        <f>L41*(1+BW41/100)</f>
        <v>0</v>
      </c>
      <c r="N41" s="19">
        <v>2.5999999999999998E-4</v>
      </c>
      <c r="O41" s="19">
        <f>G41*N41</f>
        <v>6.0735999999999993E-3</v>
      </c>
      <c r="P41" s="78" t="s">
        <v>34</v>
      </c>
      <c r="Z41" s="19">
        <f>IF(AQ41="5",BJ41,0)</f>
        <v>0</v>
      </c>
      <c r="AB41" s="19">
        <f>IF(AQ41="1",BH41,0)</f>
        <v>0</v>
      </c>
      <c r="AC41" s="19">
        <f>IF(AQ41="1",BI41,0)</f>
        <v>0</v>
      </c>
      <c r="AD41" s="19">
        <f>IF(AQ41="7",BH41,0)</f>
        <v>0</v>
      </c>
      <c r="AE41" s="19">
        <f>IF(AQ41="7",BI41,0)</f>
        <v>0</v>
      </c>
      <c r="AF41" s="19">
        <f>IF(AQ41="2",BH41,0)</f>
        <v>0</v>
      </c>
      <c r="AG41" s="19">
        <f>IF(AQ41="2",BI41,0)</f>
        <v>0</v>
      </c>
      <c r="AH41" s="19">
        <f>IF(AQ41="0",BJ41,0)</f>
        <v>0</v>
      </c>
      <c r="AI41" s="25" t="s">
        <v>31</v>
      </c>
      <c r="AJ41" s="19">
        <f>IF(AN41=0,L41,0)</f>
        <v>0</v>
      </c>
      <c r="AK41" s="19">
        <f>IF(AN41=12,L41,0)</f>
        <v>0</v>
      </c>
      <c r="AL41" s="19">
        <f>IF(AN41=21,L41,0)</f>
        <v>0</v>
      </c>
      <c r="AN41" s="19">
        <v>21</v>
      </c>
      <c r="AO41" s="19">
        <f>H41*0.578853423</f>
        <v>0</v>
      </c>
      <c r="AP41" s="19">
        <f>H41*(1-0.578853423)</f>
        <v>0</v>
      </c>
      <c r="AQ41" s="77" t="s">
        <v>241</v>
      </c>
      <c r="AV41" s="19">
        <f>AW41+AX41</f>
        <v>0</v>
      </c>
      <c r="AW41" s="19">
        <f>G41*AO41</f>
        <v>0</v>
      </c>
      <c r="AX41" s="19">
        <f>G41*AP41</f>
        <v>0</v>
      </c>
      <c r="AY41" s="77" t="s">
        <v>256</v>
      </c>
      <c r="AZ41" s="77" t="s">
        <v>257</v>
      </c>
      <c r="BA41" s="25" t="s">
        <v>233</v>
      </c>
      <c r="BC41" s="19">
        <f>AW41+AX41</f>
        <v>0</v>
      </c>
      <c r="BD41" s="19">
        <f>H41/(100-BE41)*100</f>
        <v>0</v>
      </c>
      <c r="BE41" s="19">
        <v>0</v>
      </c>
      <c r="BF41" s="19">
        <f>O41</f>
        <v>6.0735999999999993E-3</v>
      </c>
      <c r="BH41" s="19">
        <f>G41*AO41</f>
        <v>0</v>
      </c>
      <c r="BI41" s="19">
        <f>G41*AP41</f>
        <v>0</v>
      </c>
      <c r="BJ41" s="19">
        <f>G41*H41</f>
        <v>0</v>
      </c>
      <c r="BK41" s="19"/>
      <c r="BL41" s="19">
        <v>711</v>
      </c>
      <c r="BW41" s="19" t="str">
        <f>I41</f>
        <v>21</v>
      </c>
      <c r="BX41" s="5" t="s">
        <v>128</v>
      </c>
    </row>
    <row r="42" spans="1:76" x14ac:dyDescent="0.25">
      <c r="A42" s="79" t="s">
        <v>31</v>
      </c>
      <c r="B42" s="23" t="s">
        <v>31</v>
      </c>
      <c r="C42" s="23" t="s">
        <v>131</v>
      </c>
      <c r="D42" s="160" t="s">
        <v>132</v>
      </c>
      <c r="E42" s="161"/>
      <c r="F42" s="80" t="s">
        <v>26</v>
      </c>
      <c r="G42" s="80" t="s">
        <v>26</v>
      </c>
      <c r="H42" s="80" t="s">
        <v>26</v>
      </c>
      <c r="I42" s="80" t="s">
        <v>26</v>
      </c>
      <c r="J42" s="26">
        <f>SUM(J43:J43)</f>
        <v>0</v>
      </c>
      <c r="K42" s="26">
        <f>SUM(K43:K43)</f>
        <v>0</v>
      </c>
      <c r="L42" s="26">
        <f>SUM(L43:L43)</f>
        <v>0</v>
      </c>
      <c r="M42" s="26">
        <f>SUM(M43:M43)</f>
        <v>0</v>
      </c>
      <c r="N42" s="25" t="s">
        <v>31</v>
      </c>
      <c r="O42" s="26">
        <f>SUM(O43:O43)</f>
        <v>7.7099999999999998E-4</v>
      </c>
      <c r="P42" s="81" t="s">
        <v>31</v>
      </c>
      <c r="AI42" s="25" t="s">
        <v>31</v>
      </c>
      <c r="AS42" s="26">
        <f>SUM(AJ43:AJ43)</f>
        <v>0</v>
      </c>
      <c r="AT42" s="26">
        <f>SUM(AK43:AK43)</f>
        <v>0</v>
      </c>
      <c r="AU42" s="26">
        <f>SUM(AL43:AL43)</f>
        <v>0</v>
      </c>
    </row>
    <row r="43" spans="1:76" x14ac:dyDescent="0.25">
      <c r="A43" s="1" t="s">
        <v>261</v>
      </c>
      <c r="B43" s="2" t="s">
        <v>31</v>
      </c>
      <c r="C43" s="2" t="s">
        <v>133</v>
      </c>
      <c r="D43" s="95" t="s">
        <v>134</v>
      </c>
      <c r="E43" s="89"/>
      <c r="F43" s="2" t="s">
        <v>47</v>
      </c>
      <c r="G43" s="19">
        <f>'Rozpočet - vybrané sloupce'!G61</f>
        <v>25.7</v>
      </c>
      <c r="H43" s="19">
        <f>'Rozpočet - vybrané sloupce'!H61</f>
        <v>0</v>
      </c>
      <c r="I43" s="77" t="s">
        <v>230</v>
      </c>
      <c r="J43" s="19">
        <f>G43*AO43</f>
        <v>0</v>
      </c>
      <c r="K43" s="19">
        <f>G43*AP43</f>
        <v>0</v>
      </c>
      <c r="L43" s="19">
        <f>G43*H43</f>
        <v>0</v>
      </c>
      <c r="M43" s="19">
        <f>L43*(1+BW43/100)</f>
        <v>0</v>
      </c>
      <c r="N43" s="19">
        <v>3.0000000000000001E-5</v>
      </c>
      <c r="O43" s="19">
        <f>G43*N43</f>
        <v>7.7099999999999998E-4</v>
      </c>
      <c r="P43" s="78" t="s">
        <v>34</v>
      </c>
      <c r="Z43" s="19">
        <f>IF(AQ43="5",BJ43,0)</f>
        <v>0</v>
      </c>
      <c r="AB43" s="19">
        <f>IF(AQ43="1",BH43,0)</f>
        <v>0</v>
      </c>
      <c r="AC43" s="19">
        <f>IF(AQ43="1",BI43,0)</f>
        <v>0</v>
      </c>
      <c r="AD43" s="19">
        <f>IF(AQ43="7",BH43,0)</f>
        <v>0</v>
      </c>
      <c r="AE43" s="19">
        <f>IF(AQ43="7",BI43,0)</f>
        <v>0</v>
      </c>
      <c r="AF43" s="19">
        <f>IF(AQ43="2",BH43,0)</f>
        <v>0</v>
      </c>
      <c r="AG43" s="19">
        <f>IF(AQ43="2",BI43,0)</f>
        <v>0</v>
      </c>
      <c r="AH43" s="19">
        <f>IF(AQ43="0",BJ43,0)</f>
        <v>0</v>
      </c>
      <c r="AI43" s="25" t="s">
        <v>31</v>
      </c>
      <c r="AJ43" s="19">
        <f>IF(AN43=0,L43,0)</f>
        <v>0</v>
      </c>
      <c r="AK43" s="19">
        <f>IF(AN43=12,L43,0)</f>
        <v>0</v>
      </c>
      <c r="AL43" s="19">
        <f>IF(AN43=21,L43,0)</f>
        <v>0</v>
      </c>
      <c r="AN43" s="19">
        <v>21</v>
      </c>
      <c r="AO43" s="19">
        <f>H43*0.208655025</f>
        <v>0</v>
      </c>
      <c r="AP43" s="19">
        <f>H43*(1-0.208655025)</f>
        <v>0</v>
      </c>
      <c r="AQ43" s="77" t="s">
        <v>241</v>
      </c>
      <c r="AV43" s="19">
        <f>AW43+AX43</f>
        <v>0</v>
      </c>
      <c r="AW43" s="19">
        <f>G43*AO43</f>
        <v>0</v>
      </c>
      <c r="AX43" s="19">
        <f>G43*AP43</f>
        <v>0</v>
      </c>
      <c r="AY43" s="77" t="s">
        <v>262</v>
      </c>
      <c r="AZ43" s="77" t="s">
        <v>257</v>
      </c>
      <c r="BA43" s="25" t="s">
        <v>233</v>
      </c>
      <c r="BC43" s="19">
        <f>AW43+AX43</f>
        <v>0</v>
      </c>
      <c r="BD43" s="19">
        <f>H43/(100-BE43)*100</f>
        <v>0</v>
      </c>
      <c r="BE43" s="19">
        <v>0</v>
      </c>
      <c r="BF43" s="19">
        <f>O43</f>
        <v>7.7099999999999998E-4</v>
      </c>
      <c r="BH43" s="19">
        <f>G43*AO43</f>
        <v>0</v>
      </c>
      <c r="BI43" s="19">
        <f>G43*AP43</f>
        <v>0</v>
      </c>
      <c r="BJ43" s="19">
        <f>G43*H43</f>
        <v>0</v>
      </c>
      <c r="BK43" s="19"/>
      <c r="BL43" s="19">
        <v>713</v>
      </c>
      <c r="BW43" s="19" t="str">
        <f>I43</f>
        <v>21</v>
      </c>
      <c r="BX43" s="5" t="s">
        <v>134</v>
      </c>
    </row>
    <row r="44" spans="1:76" x14ac:dyDescent="0.25">
      <c r="A44" s="79" t="s">
        <v>31</v>
      </c>
      <c r="B44" s="23" t="s">
        <v>31</v>
      </c>
      <c r="C44" s="23" t="s">
        <v>137</v>
      </c>
      <c r="D44" s="160" t="s">
        <v>138</v>
      </c>
      <c r="E44" s="161"/>
      <c r="F44" s="80" t="s">
        <v>26</v>
      </c>
      <c r="G44" s="80" t="s">
        <v>26</v>
      </c>
      <c r="H44" s="80" t="s">
        <v>26</v>
      </c>
      <c r="I44" s="80" t="s">
        <v>26</v>
      </c>
      <c r="J44" s="26">
        <f>SUM(J45:J45)</f>
        <v>0</v>
      </c>
      <c r="K44" s="26">
        <f>SUM(K45:K45)</f>
        <v>0</v>
      </c>
      <c r="L44" s="26">
        <f>SUM(L45:L45)</f>
        <v>0</v>
      </c>
      <c r="M44" s="26">
        <f>SUM(M45:M45)</f>
        <v>0</v>
      </c>
      <c r="N44" s="25" t="s">
        <v>31</v>
      </c>
      <c r="O44" s="26">
        <f>SUM(O45:O45)</f>
        <v>0.54464000000000001</v>
      </c>
      <c r="P44" s="81" t="s">
        <v>31</v>
      </c>
      <c r="AI44" s="25" t="s">
        <v>31</v>
      </c>
      <c r="AS44" s="26">
        <f>SUM(AJ45:AJ45)</f>
        <v>0</v>
      </c>
      <c r="AT44" s="26">
        <f>SUM(AK45:AK45)</f>
        <v>0</v>
      </c>
      <c r="AU44" s="26">
        <f>SUM(AL45:AL45)</f>
        <v>0</v>
      </c>
    </row>
    <row r="45" spans="1:76" x14ac:dyDescent="0.25">
      <c r="A45" s="6" t="s">
        <v>263</v>
      </c>
      <c r="B45" s="7" t="s">
        <v>31</v>
      </c>
      <c r="C45" s="7" t="s">
        <v>139</v>
      </c>
      <c r="D45" s="162" t="s">
        <v>140</v>
      </c>
      <c r="E45" s="96"/>
      <c r="F45" s="7" t="s">
        <v>47</v>
      </c>
      <c r="G45" s="30">
        <f>'Rozpočet - vybrané sloupce'!G63</f>
        <v>11.84</v>
      </c>
      <c r="H45" s="30">
        <f>'Rozpočet - vybrané sloupce'!H63</f>
        <v>0</v>
      </c>
      <c r="I45" s="82" t="s">
        <v>230</v>
      </c>
      <c r="J45" s="30">
        <f>G45*AO45</f>
        <v>0</v>
      </c>
      <c r="K45" s="30">
        <f>G45*AP45</f>
        <v>0</v>
      </c>
      <c r="L45" s="30">
        <f>G45*H45</f>
        <v>0</v>
      </c>
      <c r="M45" s="30">
        <f>L45*(1+BW45/100)</f>
        <v>0</v>
      </c>
      <c r="N45" s="30">
        <v>4.5999999999999999E-2</v>
      </c>
      <c r="O45" s="30">
        <f>G45*N45</f>
        <v>0.54464000000000001</v>
      </c>
      <c r="P45" s="83" t="s">
        <v>34</v>
      </c>
      <c r="Z45" s="19">
        <f>IF(AQ45="5",BJ45,0)</f>
        <v>0</v>
      </c>
      <c r="AB45" s="19">
        <f>IF(AQ45="1",BH45,0)</f>
        <v>0</v>
      </c>
      <c r="AC45" s="19">
        <f>IF(AQ45="1",BI45,0)</f>
        <v>0</v>
      </c>
      <c r="AD45" s="19">
        <f>IF(AQ45="7",BH45,0)</f>
        <v>0</v>
      </c>
      <c r="AE45" s="19">
        <f>IF(AQ45="7",BI45,0)</f>
        <v>0</v>
      </c>
      <c r="AF45" s="19">
        <f>IF(AQ45="2",BH45,0)</f>
        <v>0</v>
      </c>
      <c r="AG45" s="19">
        <f>IF(AQ45="2",BI45,0)</f>
        <v>0</v>
      </c>
      <c r="AH45" s="19">
        <f>IF(AQ45="0",BJ45,0)</f>
        <v>0</v>
      </c>
      <c r="AI45" s="25" t="s">
        <v>31</v>
      </c>
      <c r="AJ45" s="19">
        <f>IF(AN45=0,L45,0)</f>
        <v>0</v>
      </c>
      <c r="AK45" s="19">
        <f>IF(AN45=12,L45,0)</f>
        <v>0</v>
      </c>
      <c r="AL45" s="19">
        <f>IF(AN45=21,L45,0)</f>
        <v>0</v>
      </c>
      <c r="AN45" s="19">
        <v>21</v>
      </c>
      <c r="AO45" s="19">
        <f>H45*0</f>
        <v>0</v>
      </c>
      <c r="AP45" s="19">
        <f>H45*(1-0)</f>
        <v>0</v>
      </c>
      <c r="AQ45" s="77" t="s">
        <v>229</v>
      </c>
      <c r="AV45" s="19">
        <f>AW45+AX45</f>
        <v>0</v>
      </c>
      <c r="AW45" s="19">
        <f>G45*AO45</f>
        <v>0</v>
      </c>
      <c r="AX45" s="19">
        <f>G45*AP45</f>
        <v>0</v>
      </c>
      <c r="AY45" s="77" t="s">
        <v>264</v>
      </c>
      <c r="AZ45" s="77" t="s">
        <v>265</v>
      </c>
      <c r="BA45" s="25" t="s">
        <v>233</v>
      </c>
      <c r="BC45" s="19">
        <f>AW45+AX45</f>
        <v>0</v>
      </c>
      <c r="BD45" s="19">
        <f>H45/(100-BE45)*100</f>
        <v>0</v>
      </c>
      <c r="BE45" s="19">
        <v>0</v>
      </c>
      <c r="BF45" s="19">
        <f>O45</f>
        <v>0.54464000000000001</v>
      </c>
      <c r="BH45" s="19">
        <f>G45*AO45</f>
        <v>0</v>
      </c>
      <c r="BI45" s="19">
        <f>G45*AP45</f>
        <v>0</v>
      </c>
      <c r="BJ45" s="19">
        <f>G45*H45</f>
        <v>0</v>
      </c>
      <c r="BK45" s="19"/>
      <c r="BL45" s="19">
        <v>97</v>
      </c>
      <c r="BW45" s="19" t="str">
        <f>I45</f>
        <v>21</v>
      </c>
      <c r="BX45" s="5" t="s">
        <v>140</v>
      </c>
    </row>
    <row r="46" spans="1:76" x14ac:dyDescent="0.25">
      <c r="J46" s="163" t="s">
        <v>142</v>
      </c>
      <c r="K46" s="163"/>
      <c r="L46" s="84">
        <f>ROUND(L12+L14+L16+L21+L23+L26+L28+L33+L36+L42+L44,1)</f>
        <v>0</v>
      </c>
      <c r="M46" s="84">
        <f>ROUND(M12+M14+M16+M21+M23+M26+M28+M33+M36+M42+M44,1)</f>
        <v>0</v>
      </c>
    </row>
    <row r="47" spans="1:76" x14ac:dyDescent="0.25">
      <c r="A47" s="32" t="s">
        <v>144</v>
      </c>
    </row>
    <row r="48" spans="1:76" ht="12.75" customHeight="1" x14ac:dyDescent="0.25">
      <c r="A48" s="95" t="s">
        <v>31</v>
      </c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</row>
  </sheetData>
  <mergeCells count="65"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J3"/>
    <mergeCell ref="I4:J5"/>
    <mergeCell ref="I6:J7"/>
    <mergeCell ref="I8:J9"/>
    <mergeCell ref="D2:E3"/>
    <mergeCell ref="D4:E5"/>
    <mergeCell ref="D6:E7"/>
    <mergeCell ref="K2:P3"/>
    <mergeCell ref="K4:P5"/>
    <mergeCell ref="K6:P7"/>
    <mergeCell ref="K8:P9"/>
    <mergeCell ref="D10:E10"/>
    <mergeCell ref="D8:E9"/>
    <mergeCell ref="H2:H3"/>
    <mergeCell ref="H4:H5"/>
    <mergeCell ref="H6:H7"/>
    <mergeCell ref="H8:H9"/>
    <mergeCell ref="D11:E11"/>
    <mergeCell ref="J10:L10"/>
    <mergeCell ref="N10:O10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44:E44"/>
    <mergeCell ref="D45:E45"/>
    <mergeCell ref="J46:K46"/>
    <mergeCell ref="A48:P48"/>
    <mergeCell ref="D39:E39"/>
    <mergeCell ref="D40:E40"/>
    <mergeCell ref="D41:E41"/>
    <mergeCell ref="D42:E42"/>
    <mergeCell ref="D43:E43"/>
  </mergeCells>
  <pageMargins left="0.393999993801117" right="0.393999993801117" top="0.59100002050399802" bottom="0.59100002050399802" header="0" footer="0"/>
  <pageSetup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Rozpočet - vybrané sloupce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Administrator</cp:lastModifiedBy>
  <dcterms:created xsi:type="dcterms:W3CDTF">2021-06-10T20:06:38Z</dcterms:created>
  <dcterms:modified xsi:type="dcterms:W3CDTF">2025-01-16T12:57:37Z</dcterms:modified>
</cp:coreProperties>
</file>